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ftvaerket-my.sharepoint.com/personal/bha_softvaerket_dk/Documents/Skrivebord/"/>
    </mc:Choice>
  </mc:AlternateContent>
  <xr:revisionPtr revIDLastSave="1" documentId="8_{AAEEE660-C774-4917-A495-C73D51D0927C}" xr6:coauthVersionLast="47" xr6:coauthVersionMax="47" xr10:uidLastSave="{2051BEEF-BF1A-4EEB-BE1B-5DDD156246C2}"/>
  <bookViews>
    <workbookView xWindow="7620" yWindow="6810" windowWidth="38700" windowHeight="15285" activeTab="3" xr2:uid="{00000000-000D-0000-FFFF-FFFF00000000}"/>
  </bookViews>
  <sheets>
    <sheet name="Hovedresultat" sheetId="1" r:id="rId1"/>
    <sheet name="Ark1" sheetId="15" r:id="rId2"/>
    <sheet name="Prod__og_distr_" sheetId="2" r:id="rId3"/>
    <sheet name="Adm" sheetId="3" r:id="rId4"/>
    <sheet name="Øvrige" sheetId="4" r:id="rId5"/>
  </sheets>
  <definedNames>
    <definedName name="_xlnm.Print_Area" localSheetId="2">Prod__og_distr_!$A$1:$M$71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" l="1"/>
  <c r="G22" i="1" l="1"/>
  <c r="G24" i="1"/>
  <c r="G23" i="1"/>
  <c r="Z15" i="2" l="1"/>
  <c r="Z52" i="2"/>
  <c r="M9" i="1"/>
  <c r="L15" i="4"/>
  <c r="H15" i="4"/>
  <c r="F29" i="4"/>
  <c r="F30" i="4"/>
  <c r="F26" i="4"/>
  <c r="L37" i="4"/>
  <c r="L40" i="4" s="1"/>
  <c r="L11" i="4"/>
  <c r="I52" i="2"/>
  <c r="G52" i="2"/>
  <c r="L17" i="4" l="1"/>
  <c r="Z27" i="2" l="1"/>
  <c r="K8" i="1"/>
  <c r="E7" i="1"/>
  <c r="I6" i="1"/>
  <c r="I5" i="1" s="1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6" i="2"/>
  <c r="L71" i="2"/>
  <c r="M71" i="2"/>
  <c r="N71" i="2"/>
  <c r="Y71" i="2"/>
  <c r="Z69" i="2"/>
  <c r="L39" i="2"/>
  <c r="M39" i="2"/>
  <c r="N39" i="2"/>
  <c r="O39" i="2"/>
  <c r="O71" i="2" s="1"/>
  <c r="P39" i="2"/>
  <c r="P71" i="2" s="1"/>
  <c r="Q39" i="2"/>
  <c r="Q71" i="2" s="1"/>
  <c r="R39" i="2"/>
  <c r="R71" i="2" s="1"/>
  <c r="S39" i="2"/>
  <c r="S71" i="2" s="1"/>
  <c r="T39" i="2"/>
  <c r="T71" i="2" s="1"/>
  <c r="U39" i="2"/>
  <c r="U71" i="2" s="1"/>
  <c r="V39" i="2"/>
  <c r="V71" i="2" s="1"/>
  <c r="W39" i="2"/>
  <c r="W71" i="2" s="1"/>
  <c r="X39" i="2"/>
  <c r="X71" i="2" s="1"/>
  <c r="Y39" i="2"/>
  <c r="K14" i="2"/>
  <c r="L14" i="2"/>
  <c r="L15" i="2" s="1"/>
  <c r="M14" i="2"/>
  <c r="M15" i="2" s="1"/>
  <c r="N14" i="2"/>
  <c r="N15" i="2" s="1"/>
  <c r="O14" i="2"/>
  <c r="O15" i="2" s="1"/>
  <c r="P14" i="2"/>
  <c r="P15" i="2" s="1"/>
  <c r="Q14" i="2"/>
  <c r="Q15" i="2" s="1"/>
  <c r="R14" i="2"/>
  <c r="R15" i="2" s="1"/>
  <c r="S14" i="2"/>
  <c r="S15" i="2" s="1"/>
  <c r="T14" i="2"/>
  <c r="T15" i="2" s="1"/>
  <c r="U14" i="2"/>
  <c r="U15" i="2" s="1"/>
  <c r="V14" i="2"/>
  <c r="V15" i="2" s="1"/>
  <c r="W14" i="2"/>
  <c r="W15" i="2" s="1"/>
  <c r="X14" i="2"/>
  <c r="X15" i="2" s="1"/>
  <c r="Y14" i="2"/>
  <c r="Y15" i="2" s="1"/>
  <c r="K16" i="1"/>
  <c r="K15" i="1"/>
  <c r="K15" i="2" s="1"/>
  <c r="Z65" i="2"/>
  <c r="Z60" i="2"/>
  <c r="Z35" i="2"/>
  <c r="Z39" i="2" s="1"/>
  <c r="Z13" i="2"/>
  <c r="Z47" i="2"/>
  <c r="K52" i="3"/>
  <c r="K42" i="3"/>
  <c r="K38" i="3"/>
  <c r="K31" i="3"/>
  <c r="K18" i="3"/>
  <c r="K13" i="3"/>
  <c r="K7" i="3"/>
  <c r="M16" i="2"/>
  <c r="F15" i="2"/>
  <c r="G5" i="2"/>
  <c r="G6" i="2" s="1"/>
  <c r="F22" i="1"/>
  <c r="H37" i="4"/>
  <c r="H40" i="4" s="1"/>
  <c r="F37" i="4"/>
  <c r="F40" i="4" s="1"/>
  <c r="D37" i="4"/>
  <c r="D40" i="4" s="1"/>
  <c r="D30" i="4"/>
  <c r="D17" i="4"/>
  <c r="F15" i="4"/>
  <c r="H11" i="4"/>
  <c r="F11" i="4"/>
  <c r="I52" i="3"/>
  <c r="G52" i="3"/>
  <c r="F52" i="3"/>
  <c r="E52" i="3"/>
  <c r="I42" i="3"/>
  <c r="G42" i="3"/>
  <c r="F42" i="3"/>
  <c r="E42" i="3"/>
  <c r="I38" i="3"/>
  <c r="G38" i="3"/>
  <c r="F38" i="3"/>
  <c r="E38" i="3"/>
  <c r="I31" i="3"/>
  <c r="G31" i="3"/>
  <c r="F31" i="3"/>
  <c r="E31" i="3"/>
  <c r="I18" i="3"/>
  <c r="G18" i="3"/>
  <c r="F18" i="3"/>
  <c r="E18" i="3"/>
  <c r="I13" i="3"/>
  <c r="G13" i="3"/>
  <c r="F13" i="3"/>
  <c r="E13" i="3"/>
  <c r="I7" i="3"/>
  <c r="G7" i="3"/>
  <c r="F7" i="3"/>
  <c r="E7" i="3"/>
  <c r="G69" i="2"/>
  <c r="F69" i="2"/>
  <c r="I65" i="2"/>
  <c r="G65" i="2"/>
  <c r="F65" i="2"/>
  <c r="E65" i="2"/>
  <c r="I60" i="2"/>
  <c r="G60" i="2"/>
  <c r="F60" i="2"/>
  <c r="E60" i="2"/>
  <c r="K57" i="2"/>
  <c r="F52" i="2"/>
  <c r="E52" i="2"/>
  <c r="I47" i="2"/>
  <c r="G47" i="2"/>
  <c r="F47" i="2"/>
  <c r="E47" i="2"/>
  <c r="K37" i="2"/>
  <c r="K39" i="2" s="1"/>
  <c r="K71" i="2" s="1"/>
  <c r="I35" i="2"/>
  <c r="G35" i="2"/>
  <c r="E35" i="2"/>
  <c r="I27" i="2"/>
  <c r="G27" i="2"/>
  <c r="F27" i="2"/>
  <c r="F39" i="2" s="1"/>
  <c r="E27" i="2"/>
  <c r="E39" i="2" s="1"/>
  <c r="K26" i="2"/>
  <c r="K20" i="2"/>
  <c r="I13" i="2"/>
  <c r="G13" i="2"/>
  <c r="E13" i="2"/>
  <c r="K12" i="2"/>
  <c r="K8" i="2"/>
  <c r="E6" i="2"/>
  <c r="I26" i="1"/>
  <c r="E20" i="1"/>
  <c r="I17" i="1"/>
  <c r="I16" i="1"/>
  <c r="H17" i="4" l="1"/>
  <c r="F17" i="4"/>
  <c r="E54" i="3"/>
  <c r="E24" i="1" s="1"/>
  <c r="K54" i="3"/>
  <c r="K24" i="1" s="1"/>
  <c r="G54" i="3"/>
  <c r="F54" i="3"/>
  <c r="F24" i="1" s="1"/>
  <c r="I54" i="3"/>
  <c r="I24" i="1" s="1"/>
  <c r="G39" i="2"/>
  <c r="G71" i="2" s="1"/>
  <c r="E71" i="2"/>
  <c r="E23" i="1" s="1"/>
  <c r="I39" i="2"/>
  <c r="I71" i="2" s="1"/>
  <c r="I23" i="1" s="1"/>
  <c r="E14" i="2"/>
  <c r="F71" i="2"/>
  <c r="Z14" i="2"/>
  <c r="G20" i="1"/>
  <c r="G14" i="2"/>
  <c r="Z71" i="2"/>
  <c r="K22" i="1"/>
  <c r="K20" i="1"/>
  <c r="I5" i="2"/>
  <c r="I15" i="1"/>
  <c r="K23" i="1" l="1"/>
  <c r="K27" i="1" s="1"/>
  <c r="K29" i="1" s="1"/>
  <c r="K31" i="1" s="1"/>
  <c r="K56" i="3"/>
  <c r="L21" i="4" s="1"/>
  <c r="L42" i="4" s="1"/>
  <c r="L44" i="4" s="1"/>
  <c r="G27" i="1"/>
  <c r="G29" i="1" s="1"/>
  <c r="G31" i="1" s="1"/>
  <c r="G15" i="2"/>
  <c r="G56" i="3" s="1"/>
  <c r="E22" i="1"/>
  <c r="E27" i="1" s="1"/>
  <c r="E29" i="1" s="1"/>
  <c r="E15" i="2"/>
  <c r="E56" i="3" s="1"/>
  <c r="D21" i="4" s="1"/>
  <c r="D42" i="4" s="1"/>
  <c r="D44" i="4" s="1"/>
  <c r="F23" i="1"/>
  <c r="F27" i="1" s="1"/>
  <c r="F29" i="1" s="1"/>
  <c r="F56" i="3"/>
  <c r="F21" i="4"/>
  <c r="I20" i="1"/>
  <c r="I6" i="2"/>
  <c r="I14" i="2" s="1"/>
  <c r="I15" i="2" s="1"/>
  <c r="I56" i="3" s="1"/>
  <c r="F42" i="4" l="1"/>
  <c r="F44" i="4" s="1"/>
  <c r="I22" i="1"/>
  <c r="I27" i="1" s="1"/>
  <c r="I29" i="1" s="1"/>
  <c r="I31" i="1" s="1"/>
  <c r="H21" i="4" l="1"/>
  <c r="H42" i="4" l="1"/>
  <c r="H44" i="4" s="1"/>
</calcChain>
</file>

<file path=xl/sharedStrings.xml><?xml version="1.0" encoding="utf-8"?>
<sst xmlns="http://schemas.openxmlformats.org/spreadsheetml/2006/main" count="216" uniqueCount="178">
  <si>
    <t xml:space="preserve">Budgetskitse </t>
  </si>
  <si>
    <t>Regnskab</t>
  </si>
  <si>
    <t>Budget</t>
  </si>
  <si>
    <t>TDKK</t>
  </si>
  <si>
    <t>Budget 25</t>
  </si>
  <si>
    <t>Antal stik pr. 1,7</t>
  </si>
  <si>
    <t>Salg i MWh</t>
  </si>
  <si>
    <t>Køb i MWh</t>
  </si>
  <si>
    <t>115.000 GJ oplyst af HF</t>
  </si>
  <si>
    <t>Tab i MWh</t>
  </si>
  <si>
    <t>Forbrugsbidrag pr. MWh</t>
  </si>
  <si>
    <t>8 % stigning</t>
  </si>
  <si>
    <t>Købspris pr. MWh</t>
  </si>
  <si>
    <t>130 Kr./GJ til godkendelse af HF best</t>
  </si>
  <si>
    <t>Fast bidrag pr m2</t>
  </si>
  <si>
    <t>Abonnementsbidrag</t>
  </si>
  <si>
    <t>Ejd.faktor pr. 1.7</t>
  </si>
  <si>
    <t>RESULTATOPGØRELSE</t>
  </si>
  <si>
    <t>Indtægter tkr.:</t>
  </si>
  <si>
    <t>Varmebidrag</t>
  </si>
  <si>
    <t>Fast bidrag</t>
  </si>
  <si>
    <t>Antenneleje</t>
  </si>
  <si>
    <t>Gebyrer</t>
  </si>
  <si>
    <t>Total</t>
  </si>
  <si>
    <t>Omkostninger tkr.:</t>
  </si>
  <si>
    <t>Produktionsomkostninger</t>
  </si>
  <si>
    <t>Distributionsomkostninger</t>
  </si>
  <si>
    <t>Administrationsomkostninger</t>
  </si>
  <si>
    <t>Energibesparelser</t>
  </si>
  <si>
    <t>Renter</t>
  </si>
  <si>
    <t>Resultat tkr.:</t>
  </si>
  <si>
    <t>Resultat</t>
  </si>
  <si>
    <t>overdækning primo</t>
  </si>
  <si>
    <t>Ny overdækning</t>
  </si>
  <si>
    <t>183kr snit  pr andelshaver</t>
  </si>
  <si>
    <t>SRO-anlæg</t>
  </si>
  <si>
    <t>Budgetskitse 2023</t>
  </si>
  <si>
    <t>ENAO pkt.</t>
  </si>
  <si>
    <t>Køb af varme</t>
  </si>
  <si>
    <t>Køb af varme, Variabel bidrag</t>
  </si>
  <si>
    <t>Køb af varme i alt</t>
  </si>
  <si>
    <t>Øvrige produktionsanlæg</t>
  </si>
  <si>
    <t>Øvrige produktionsomk.</t>
  </si>
  <si>
    <t>Rep. Og vedligeh.pumper</t>
  </si>
  <si>
    <t>Hvis vi vælger SRO anlæg med licens omkostning til cloudbaseret løsning</t>
  </si>
  <si>
    <t>Småanskaffelser</t>
  </si>
  <si>
    <t>Afskrivning produktion</t>
  </si>
  <si>
    <t>Ikke beregnet</t>
  </si>
  <si>
    <t>Vedligeh. Produktionsapp i alt</t>
  </si>
  <si>
    <t>Produktionsomkostninger i alt</t>
  </si>
  <si>
    <t>Bruttoresultat</t>
  </si>
  <si>
    <t>Samlet afskrivninger</t>
  </si>
  <si>
    <t>Ledninger</t>
  </si>
  <si>
    <t>Hovedledninger</t>
  </si>
  <si>
    <t>rep og vedl.ledningsnet</t>
  </si>
  <si>
    <t>Justeret iht input fra Jens</t>
  </si>
  <si>
    <t>Justeret i 2023 iht bemærkning fra Mikale. Tal taget fra råbalance</t>
  </si>
  <si>
    <t>Hovedledninger, rørarbejder</t>
  </si>
  <si>
    <t>håndværktøj</t>
  </si>
  <si>
    <t>Hovedledninger, Teknisk ass.</t>
  </si>
  <si>
    <t>Øvrigt</t>
  </si>
  <si>
    <t>Forbrugsmat.rep.hovedledn.</t>
  </si>
  <si>
    <t>Afskrivning hovedledninger</t>
  </si>
  <si>
    <t>Hovedledninger i alt</t>
  </si>
  <si>
    <t>Stikledninger</t>
  </si>
  <si>
    <t>Stikledninger, materialer</t>
  </si>
  <si>
    <t>Stikledninger, repr. &amp; vedligeh.</t>
  </si>
  <si>
    <t>Stikledninger, rørarbejder</t>
  </si>
  <si>
    <t>Stikledninger, jordarbejder</t>
  </si>
  <si>
    <t>Forbrugsmat.rep.stikledning</t>
  </si>
  <si>
    <t>Afskrivning stikledning</t>
  </si>
  <si>
    <t>Stikledninger i alt</t>
  </si>
  <si>
    <t>Spædevand</t>
  </si>
  <si>
    <t>Ledninger i alt</t>
  </si>
  <si>
    <t>Målerudgifter</t>
  </si>
  <si>
    <t>Køb af målere</t>
  </si>
  <si>
    <t>Køb af batterier</t>
  </si>
  <si>
    <t>Målere i øvrigt incl. stikprøver</t>
  </si>
  <si>
    <t>Afskrivning målere</t>
  </si>
  <si>
    <t xml:space="preserve">Gamle målere og nyt målerprojekt </t>
  </si>
  <si>
    <t>Fjernaflæsning</t>
  </si>
  <si>
    <t>Målerudgifter i alt</t>
  </si>
  <si>
    <t>El</t>
  </si>
  <si>
    <t>Køb af el</t>
  </si>
  <si>
    <t>El-afgifter, der refunderes</t>
  </si>
  <si>
    <t>El i alt</t>
  </si>
  <si>
    <t>Driftsledelse</t>
  </si>
  <si>
    <t>Teknisk assistance, konsulent</t>
  </si>
  <si>
    <t>vagtordning</t>
  </si>
  <si>
    <t>Løn, sociale omk. Vagt</t>
  </si>
  <si>
    <t>Martin akivering 50% + Bent 50%</t>
  </si>
  <si>
    <t>Autodrift excl. afskr.</t>
  </si>
  <si>
    <t>Ovf.lokaleomk. incl. afskr.</t>
  </si>
  <si>
    <t>Driftsledelse i alt</t>
  </si>
  <si>
    <t>Øvrig styring</t>
  </si>
  <si>
    <t>kurser</t>
  </si>
  <si>
    <t>IT til distribution</t>
  </si>
  <si>
    <t>Øvrig styring i alt</t>
  </si>
  <si>
    <t>Ledningstegning</t>
  </si>
  <si>
    <t>Ledningstegning i alt</t>
  </si>
  <si>
    <t>Distributionsomk. i alt</t>
  </si>
  <si>
    <t>Budget ?</t>
  </si>
  <si>
    <t>Administrationsomk.</t>
  </si>
  <si>
    <t>Bestyrelse, generalforsamling</t>
  </si>
  <si>
    <t>Møder og generalforsamling</t>
  </si>
  <si>
    <t>Bespisning i egne lokaler</t>
  </si>
  <si>
    <t>Ledelse</t>
  </si>
  <si>
    <t>Rejseudgifter</t>
  </si>
  <si>
    <t>Repræsentation</t>
  </si>
  <si>
    <t>Overført formandshonorar</t>
  </si>
  <si>
    <t>Ledelse i alt</t>
  </si>
  <si>
    <t>Forbrugerinformation</t>
  </si>
  <si>
    <t>Tryksager</t>
  </si>
  <si>
    <t>Annoncer</t>
  </si>
  <si>
    <t>Forbrugerinformation i alt</t>
  </si>
  <si>
    <t>Administration</t>
  </si>
  <si>
    <t>Telefon</t>
  </si>
  <si>
    <t>Kontorhold, abonnementer</t>
  </si>
  <si>
    <t>Porto, gebyrer</t>
  </si>
  <si>
    <t>Fragt og porto m.moms</t>
  </si>
  <si>
    <t>Inkasso omkostninger</t>
  </si>
  <si>
    <t>Tab på fordr., inkassoomk.</t>
  </si>
  <si>
    <t>rengøring</t>
  </si>
  <si>
    <t>Løn mv overført fra fordeling</t>
  </si>
  <si>
    <t>Kørselsomkostninger</t>
  </si>
  <si>
    <t>Overført lokaleomkostninger</t>
  </si>
  <si>
    <t>Administration i alt</t>
  </si>
  <si>
    <t>IT udgifter</t>
  </si>
  <si>
    <t>Nets (PBS)</t>
  </si>
  <si>
    <t>Hardware</t>
  </si>
  <si>
    <t>IT til administration</t>
  </si>
  <si>
    <t>Konsulentydelser EDB</t>
  </si>
  <si>
    <t>IT-udgifter i alt</t>
  </si>
  <si>
    <t>Revision</t>
  </si>
  <si>
    <t>Revision mv i alt</t>
  </si>
  <si>
    <t>I øvrigt</t>
  </si>
  <si>
    <t>Juridisk assistance</t>
  </si>
  <si>
    <t>konsulent</t>
  </si>
  <si>
    <t>Kursus, administration</t>
  </si>
  <si>
    <t>softværket</t>
  </si>
  <si>
    <t>Abonnementer</t>
  </si>
  <si>
    <t>Forsikringer</t>
  </si>
  <si>
    <t>Inventar, småanskaf.til adm.</t>
  </si>
  <si>
    <t>I øvrigt i alt</t>
  </si>
  <si>
    <t>Administrationsomk.i alt</t>
  </si>
  <si>
    <t>Resultat af primær drift</t>
  </si>
  <si>
    <t>Andre driftsindtægter:</t>
  </si>
  <si>
    <t>Rykkergebyrer</t>
  </si>
  <si>
    <t>Åbnegebyrer</t>
  </si>
  <si>
    <t>Lukkegebyrer</t>
  </si>
  <si>
    <t>2. rykker</t>
  </si>
  <si>
    <t>2.rykker</t>
  </si>
  <si>
    <t>Gebyrer i alt</t>
  </si>
  <si>
    <t>Udlejning</t>
  </si>
  <si>
    <t>Antenneleje, skorstensudl.</t>
  </si>
  <si>
    <t>Udlejning i alt</t>
  </si>
  <si>
    <t>Andre driftsindtægter i alt</t>
  </si>
  <si>
    <t>Resultat før renter</t>
  </si>
  <si>
    <t>Renteindtægter</t>
  </si>
  <si>
    <t>Renteindtægt fra forbrugere</t>
  </si>
  <si>
    <t>Renteindtægt forbrugere i alt</t>
  </si>
  <si>
    <t>Renteindtægt bank</t>
  </si>
  <si>
    <t>Diverse</t>
  </si>
  <si>
    <t>Øvrige i alt</t>
  </si>
  <si>
    <t>Renteindtægter i alt</t>
  </si>
  <si>
    <t>Renteudgifter</t>
  </si>
  <si>
    <t>Pengeinstitutter</t>
  </si>
  <si>
    <t>Renteudgifter bank</t>
  </si>
  <si>
    <t>Renteudgifter nyt</t>
  </si>
  <si>
    <t>Pengeinstitutter i alt</t>
  </si>
  <si>
    <t>Renteudgifter kommunekredit</t>
  </si>
  <si>
    <t>Renteudgifter i alt</t>
  </si>
  <si>
    <t>Resultat før ekstraord.poster</t>
  </si>
  <si>
    <t>Årets resultat</t>
  </si>
  <si>
    <t xml:space="preserve">Budget   </t>
  </si>
  <si>
    <t xml:space="preserve">Budget </t>
  </si>
  <si>
    <t xml:space="preserve">Resultat </t>
  </si>
  <si>
    <t>Provision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</si>
</sst>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[$-406]General"/>
    <numFmt numFmtId="165" formatCode="#,##0&quot; &quot;;&quot; -&quot;#,##0&quot; &quot;;&quot; -&quot;#&quot; &quot;;@&quot; &quot;"/>
    <numFmt numFmtId="166" formatCode="[$-406]#,##0"/>
    <numFmt numFmtId="167" formatCode="[$-406]0.00"/>
    <numFmt numFmtId="168" formatCode="[$-406]0"/>
    <numFmt numFmtId="169" formatCode="0.0"/>
    <numFmt numFmtId="170" formatCode="&quot; &quot;* #,##0.00&quot; &quot;;&quot;-&quot;* #,##0.00&quot; &quot;;&quot; &quot;* &quot;-&quot;#&quot; &quot;;&quot; &quot;@&quot; &quot;"/>
    <numFmt numFmtId="171" formatCode="[$-406]#,##0.00"/>
    <numFmt numFmtId="172" formatCode="&quot; &quot;* #,##0&quot; &quot;;&quot;-&quot;* #,##0&quot; &quot;;&quot; &quot;* &quot;-&quot;#&quot; &quot;;&quot; &quot;@&quot; &quot;"/>
    <numFmt numFmtId="173" formatCode="&quot; &quot;* #,##0.0&quot; &quot;;&quot;-&quot;* #,##0.0&quot; &quot;;&quot; &quot;* &quot;-&quot;#.0&quot; &quot;;&quot; &quot;@&quot; &quot;"/>
    <numFmt numFmtId="174" formatCode="#,##0.00&quot; &quot;;&quot; -&quot;#,##0.00&quot; &quot;;&quot; -&quot;#&quot; &quot;;@&quot; &quot;"/>
    <numFmt numFmtId="175" formatCode="[$kr-406]&quot; &quot;#,##0.00;[Red][$kr-406]&quot; -&quot;#,##0.00"/>
    <numFmt numFmtId="176" formatCode="_-* #,##0_-;\-* #,##0_-;_-* &quot;-&quot;??_-;_-@_-"/>
  </numFmts>
  <fonts count="17" x14ac:knownFonts="1">
    <font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u/>
      <sz val="11"/>
      <color rgb="FF0563C1"/>
      <name val="Arial"/>
      <family val="2"/>
    </font>
    <font>
      <b/>
      <i/>
      <u/>
      <sz val="11"/>
      <color rgb="FF000000"/>
      <name val="Arial"/>
      <family val="2"/>
    </font>
    <font>
      <b/>
      <sz val="16"/>
      <color rgb="FF000000"/>
      <name val="Calibri"/>
      <family val="2"/>
    </font>
    <font>
      <sz val="16"/>
      <color rgb="FF000000"/>
      <name val="Calibri"/>
      <family val="2"/>
    </font>
    <font>
      <b/>
      <i/>
      <sz val="16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6"/>
      <color rgb="FF000000"/>
      <name val="Calibri"/>
    </font>
    <font>
      <sz val="8"/>
      <color rgb="FF000000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sz val="16"/>
      <color rgb="FFFF0000"/>
      <name val="Calibri"/>
      <family val="2"/>
    </font>
    <font>
      <b/>
      <sz val="16"/>
      <color rgb="FFFF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BFBFBF"/>
        <bgColor rgb="FFBFBFBF"/>
      </patternFill>
    </fill>
    <fill>
      <patternFill patternType="solid">
        <fgColor rgb="FFE2F0D9"/>
        <bgColor rgb="FFE2F0D9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E2F0D9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9">
    <xf numFmtId="0" fontId="0" fillId="0" borderId="0"/>
    <xf numFmtId="174" fontId="2" fillId="0" borderId="0" applyBorder="0" applyProtection="0"/>
    <xf numFmtId="164" fontId="2" fillId="0" borderId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170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Border="0" applyProtection="0"/>
    <xf numFmtId="175" fontId="5" fillId="0" borderId="0" applyBorder="0" applyProtection="0"/>
  </cellStyleXfs>
  <cellXfs count="210">
    <xf numFmtId="0" fontId="0" fillId="0" borderId="0" xfId="0"/>
    <xf numFmtId="164" fontId="6" fillId="0" borderId="1" xfId="2" applyFont="1" applyBorder="1"/>
    <xf numFmtId="164" fontId="7" fillId="0" borderId="2" xfId="2" applyFont="1" applyBorder="1"/>
    <xf numFmtId="164" fontId="7" fillId="0" borderId="2" xfId="2" applyFont="1" applyBorder="1" applyAlignment="1">
      <alignment horizontal="center"/>
    </xf>
    <xf numFmtId="164" fontId="7" fillId="0" borderId="3" xfId="2" applyFont="1" applyBorder="1" applyAlignment="1">
      <alignment horizontal="center"/>
    </xf>
    <xf numFmtId="164" fontId="7" fillId="0" borderId="0" xfId="2" applyFont="1"/>
    <xf numFmtId="164" fontId="7" fillId="0" borderId="4" xfId="2" applyFont="1" applyBorder="1"/>
    <xf numFmtId="164" fontId="7" fillId="0" borderId="0" xfId="2" applyFont="1" applyAlignment="1">
      <alignment horizontal="center"/>
    </xf>
    <xf numFmtId="164" fontId="7" fillId="0" borderId="5" xfId="2" applyFont="1" applyBorder="1" applyAlignment="1">
      <alignment horizontal="center"/>
    </xf>
    <xf numFmtId="164" fontId="7" fillId="0" borderId="1" xfId="2" applyFont="1" applyBorder="1"/>
    <xf numFmtId="164" fontId="7" fillId="0" borderId="3" xfId="2" applyFont="1" applyBorder="1"/>
    <xf numFmtId="166" fontId="7" fillId="4" borderId="0" xfId="2" applyNumberFormat="1" applyFont="1" applyFill="1"/>
    <xf numFmtId="166" fontId="7" fillId="0" borderId="5" xfId="2" applyNumberFormat="1" applyFont="1" applyBorder="1"/>
    <xf numFmtId="165" fontId="7" fillId="0" borderId="0" xfId="2" applyNumberFormat="1" applyFont="1"/>
    <xf numFmtId="164" fontId="7" fillId="4" borderId="0" xfId="2" applyFont="1" applyFill="1"/>
    <xf numFmtId="164" fontId="7" fillId="0" borderId="5" xfId="2" applyFont="1" applyBorder="1"/>
    <xf numFmtId="1" fontId="7" fillId="0" borderId="0" xfId="5" applyNumberFormat="1" applyFont="1"/>
    <xf numFmtId="170" fontId="7" fillId="0" borderId="0" xfId="5" applyFont="1"/>
    <xf numFmtId="1" fontId="7" fillId="0" borderId="0" xfId="2" applyNumberFormat="1" applyFont="1"/>
    <xf numFmtId="171" fontId="7" fillId="4" borderId="0" xfId="2" applyNumberFormat="1" applyFont="1" applyFill="1"/>
    <xf numFmtId="167" fontId="7" fillId="0" borderId="5" xfId="2" applyNumberFormat="1" applyFont="1" applyBorder="1"/>
    <xf numFmtId="164" fontId="7" fillId="0" borderId="6" xfId="2" applyFont="1" applyBorder="1"/>
    <xf numFmtId="164" fontId="7" fillId="0" borderId="7" xfId="2" applyFont="1" applyBorder="1"/>
    <xf numFmtId="166" fontId="7" fillId="4" borderId="7" xfId="2" applyNumberFormat="1" applyFont="1" applyFill="1" applyBorder="1"/>
    <xf numFmtId="166" fontId="7" fillId="0" borderId="8" xfId="2" applyNumberFormat="1" applyFont="1" applyBorder="1"/>
    <xf numFmtId="164" fontId="6" fillId="0" borderId="2" xfId="2" applyFont="1" applyBorder="1"/>
    <xf numFmtId="164" fontId="8" fillId="0" borderId="4" xfId="2" applyFont="1" applyBorder="1"/>
    <xf numFmtId="164" fontId="8" fillId="0" borderId="0" xfId="2" applyFont="1"/>
    <xf numFmtId="165" fontId="7" fillId="4" borderId="0" xfId="1" applyNumberFormat="1" applyFont="1" applyFill="1"/>
    <xf numFmtId="165" fontId="7" fillId="0" borderId="5" xfId="1" applyNumberFormat="1" applyFont="1" applyBorder="1"/>
    <xf numFmtId="168" fontId="7" fillId="4" borderId="0" xfId="2" applyNumberFormat="1" applyFont="1" applyFill="1"/>
    <xf numFmtId="168" fontId="7" fillId="0" borderId="5" xfId="2" applyNumberFormat="1" applyFont="1" applyBorder="1"/>
    <xf numFmtId="166" fontId="6" fillId="4" borderId="9" xfId="2" applyNumberFormat="1" applyFont="1" applyFill="1" applyBorder="1"/>
    <xf numFmtId="165" fontId="6" fillId="4" borderId="9" xfId="2" applyNumberFormat="1" applyFont="1" applyFill="1" applyBorder="1"/>
    <xf numFmtId="165" fontId="6" fillId="0" borderId="9" xfId="2" applyNumberFormat="1" applyFont="1" applyBorder="1"/>
    <xf numFmtId="164" fontId="8" fillId="0" borderId="1" xfId="2" applyFont="1" applyBorder="1"/>
    <xf numFmtId="164" fontId="8" fillId="0" borderId="2" xfId="2" applyFont="1" applyBorder="1"/>
    <xf numFmtId="165" fontId="6" fillId="4" borderId="7" xfId="2" applyNumberFormat="1" applyFont="1" applyFill="1" applyBorder="1"/>
    <xf numFmtId="165" fontId="7" fillId="4" borderId="0" xfId="2" applyNumberFormat="1" applyFont="1" applyFill="1"/>
    <xf numFmtId="165" fontId="7" fillId="0" borderId="5" xfId="2" applyNumberFormat="1" applyFont="1" applyBorder="1"/>
    <xf numFmtId="166" fontId="7" fillId="0" borderId="0" xfId="2" applyNumberFormat="1" applyFont="1"/>
    <xf numFmtId="165" fontId="7" fillId="0" borderId="0" xfId="2" applyNumberFormat="1" applyFont="1" applyAlignment="1">
      <alignment horizontal="center"/>
    </xf>
    <xf numFmtId="164" fontId="9" fillId="0" borderId="1" xfId="2" applyFont="1" applyBorder="1"/>
    <xf numFmtId="164" fontId="2" fillId="0" borderId="2" xfId="2" applyBorder="1"/>
    <xf numFmtId="164" fontId="2" fillId="0" borderId="2" xfId="2" applyBorder="1" applyAlignment="1">
      <alignment horizontal="center"/>
    </xf>
    <xf numFmtId="164" fontId="2" fillId="2" borderId="2" xfId="2" applyFill="1" applyBorder="1" applyAlignment="1">
      <alignment horizontal="center"/>
    </xf>
    <xf numFmtId="164" fontId="2" fillId="0" borderId="3" xfId="2" applyBorder="1" applyAlignment="1">
      <alignment horizontal="center"/>
    </xf>
    <xf numFmtId="164" fontId="2" fillId="3" borderId="0" xfId="2" applyFill="1"/>
    <xf numFmtId="164" fontId="2" fillId="0" borderId="0" xfId="2"/>
    <xf numFmtId="164" fontId="2" fillId="0" borderId="4" xfId="2" applyBorder="1"/>
    <xf numFmtId="164" fontId="2" fillId="0" borderId="7" xfId="2" applyBorder="1" applyAlignment="1">
      <alignment horizontal="center"/>
    </xf>
    <xf numFmtId="164" fontId="2" fillId="2" borderId="7" xfId="2" applyFill="1" applyBorder="1" applyAlignment="1">
      <alignment horizontal="center"/>
    </xf>
    <xf numFmtId="164" fontId="2" fillId="0" borderId="7" xfId="2" applyBorder="1"/>
    <xf numFmtId="164" fontId="2" fillId="0" borderId="8" xfId="2" applyBorder="1" applyAlignment="1">
      <alignment horizontal="center"/>
    </xf>
    <xf numFmtId="164" fontId="9" fillId="0" borderId="2" xfId="2" applyFont="1" applyBorder="1"/>
    <xf numFmtId="164" fontId="2" fillId="2" borderId="2" xfId="2" applyFill="1" applyBorder="1"/>
    <xf numFmtId="164" fontId="2" fillId="0" borderId="3" xfId="2" applyBorder="1"/>
    <xf numFmtId="164" fontId="9" fillId="0" borderId="4" xfId="2" applyFont="1" applyBorder="1"/>
    <xf numFmtId="164" fontId="9" fillId="0" borderId="0" xfId="2" applyFont="1"/>
    <xf numFmtId="164" fontId="2" fillId="2" borderId="0" xfId="2" applyFill="1"/>
    <xf numFmtId="164" fontId="2" fillId="0" borderId="5" xfId="2" applyBorder="1"/>
    <xf numFmtId="166" fontId="2" fillId="0" borderId="4" xfId="2" applyNumberFormat="1" applyBorder="1"/>
    <xf numFmtId="166" fontId="2" fillId="4" borderId="0" xfId="2" applyNumberFormat="1" applyFill="1"/>
    <xf numFmtId="166" fontId="2" fillId="2" borderId="0" xfId="2" applyNumberFormat="1" applyFill="1"/>
    <xf numFmtId="165" fontId="2" fillId="4" borderId="0" xfId="2" applyNumberFormat="1" applyFill="1"/>
    <xf numFmtId="166" fontId="2" fillId="0" borderId="5" xfId="2" applyNumberFormat="1" applyBorder="1"/>
    <xf numFmtId="166" fontId="2" fillId="0" borderId="0" xfId="2" applyNumberFormat="1"/>
    <xf numFmtId="166" fontId="9" fillId="0" borderId="4" xfId="2" applyNumberFormat="1" applyFont="1" applyBorder="1"/>
    <xf numFmtId="166" fontId="9" fillId="4" borderId="9" xfId="2" applyNumberFormat="1" applyFont="1" applyFill="1" applyBorder="1"/>
    <xf numFmtId="165" fontId="9" fillId="4" borderId="9" xfId="2" applyNumberFormat="1" applyFont="1" applyFill="1" applyBorder="1"/>
    <xf numFmtId="166" fontId="9" fillId="0" borderId="9" xfId="2" applyNumberFormat="1" applyFont="1" applyBorder="1"/>
    <xf numFmtId="164" fontId="2" fillId="4" borderId="0" xfId="2" applyFill="1"/>
    <xf numFmtId="167" fontId="2" fillId="0" borderId="0" xfId="2" applyNumberFormat="1"/>
    <xf numFmtId="164" fontId="2" fillId="4" borderId="7" xfId="2" applyFill="1" applyBorder="1"/>
    <xf numFmtId="166" fontId="9" fillId="0" borderId="6" xfId="2" applyNumberFormat="1" applyFont="1" applyBorder="1"/>
    <xf numFmtId="164" fontId="9" fillId="0" borderId="7" xfId="2" applyFont="1" applyBorder="1"/>
    <xf numFmtId="166" fontId="9" fillId="4" borderId="7" xfId="2" applyNumberFormat="1" applyFont="1" applyFill="1" applyBorder="1"/>
    <xf numFmtId="165" fontId="9" fillId="0" borderId="8" xfId="1" applyNumberFormat="1" applyFont="1" applyBorder="1"/>
    <xf numFmtId="168" fontId="2" fillId="4" borderId="0" xfId="2" applyNumberFormat="1" applyFill="1"/>
    <xf numFmtId="168" fontId="2" fillId="0" borderId="0" xfId="2" applyNumberFormat="1"/>
    <xf numFmtId="166" fontId="2" fillId="6" borderId="5" xfId="2" applyNumberFormat="1" applyFill="1" applyBorder="1"/>
    <xf numFmtId="165" fontId="9" fillId="4" borderId="9" xfId="1" applyNumberFormat="1" applyFont="1" applyFill="1" applyBorder="1"/>
    <xf numFmtId="165" fontId="9" fillId="0" borderId="9" xfId="1" applyNumberFormat="1" applyFont="1" applyBorder="1"/>
    <xf numFmtId="165" fontId="2" fillId="0" borderId="0" xfId="2" applyNumberFormat="1"/>
    <xf numFmtId="164" fontId="9" fillId="4" borderId="9" xfId="2" applyFont="1" applyFill="1" applyBorder="1"/>
    <xf numFmtId="165" fontId="2" fillId="2" borderId="0" xfId="2" applyNumberFormat="1" applyFill="1"/>
    <xf numFmtId="164" fontId="9" fillId="0" borderId="9" xfId="2" applyFont="1" applyBorder="1"/>
    <xf numFmtId="165" fontId="9" fillId="0" borderId="9" xfId="2" applyNumberFormat="1" applyFont="1" applyBorder="1"/>
    <xf numFmtId="164" fontId="2" fillId="0" borderId="0" xfId="2" applyAlignment="1">
      <alignment horizontal="left"/>
    </xf>
    <xf numFmtId="164" fontId="2" fillId="0" borderId="6" xfId="2" applyBorder="1"/>
    <xf numFmtId="164" fontId="2" fillId="3" borderId="0" xfId="2" applyFill="1" applyAlignment="1">
      <alignment horizontal="right"/>
    </xf>
    <xf numFmtId="164" fontId="2" fillId="0" borderId="0" xfId="2" applyAlignment="1">
      <alignment horizontal="center"/>
    </xf>
    <xf numFmtId="164" fontId="2" fillId="4" borderId="2" xfId="2" applyFill="1" applyBorder="1"/>
    <xf numFmtId="168" fontId="2" fillId="0" borderId="0" xfId="2" applyNumberFormat="1" applyAlignment="1">
      <alignment horizontal="left"/>
    </xf>
    <xf numFmtId="164" fontId="2" fillId="6" borderId="5" xfId="2" applyFill="1" applyBorder="1"/>
    <xf numFmtId="168" fontId="9" fillId="4" borderId="9" xfId="2" applyNumberFormat="1" applyFont="1" applyFill="1" applyBorder="1"/>
    <xf numFmtId="168" fontId="9" fillId="0" borderId="9" xfId="2" applyNumberFormat="1" applyFont="1" applyBorder="1"/>
    <xf numFmtId="164" fontId="2" fillId="5" borderId="2" xfId="2" applyFill="1" applyBorder="1" applyAlignment="1">
      <alignment horizontal="center"/>
    </xf>
    <xf numFmtId="164" fontId="2" fillId="5" borderId="7" xfId="2" applyFill="1" applyBorder="1" applyAlignment="1">
      <alignment horizontal="center"/>
    </xf>
    <xf numFmtId="164" fontId="2" fillId="5" borderId="2" xfId="2" applyFill="1" applyBorder="1"/>
    <xf numFmtId="164" fontId="2" fillId="5" borderId="0" xfId="2" applyFill="1"/>
    <xf numFmtId="164" fontId="9" fillId="4" borderId="0" xfId="2" applyFont="1" applyFill="1"/>
    <xf numFmtId="164" fontId="9" fillId="0" borderId="5" xfId="2" applyFont="1" applyBorder="1"/>
    <xf numFmtId="168" fontId="2" fillId="5" borderId="0" xfId="2" applyNumberFormat="1" applyFill="1"/>
    <xf numFmtId="164" fontId="2" fillId="5" borderId="7" xfId="2" applyFill="1" applyBorder="1"/>
    <xf numFmtId="168" fontId="2" fillId="5" borderId="7" xfId="2" applyNumberFormat="1" applyFill="1" applyBorder="1"/>
    <xf numFmtId="176" fontId="10" fillId="0" borderId="0" xfId="2" applyNumberFormat="1" applyFont="1"/>
    <xf numFmtId="164" fontId="2" fillId="8" borderId="8" xfId="2" applyFill="1" applyBorder="1"/>
    <xf numFmtId="164" fontId="2" fillId="8" borderId="0" xfId="2" applyFill="1"/>
    <xf numFmtId="164" fontId="2" fillId="8" borderId="5" xfId="2" applyFill="1" applyBorder="1"/>
    <xf numFmtId="168" fontId="2" fillId="9" borderId="0" xfId="2" applyNumberFormat="1" applyFill="1"/>
    <xf numFmtId="170" fontId="7" fillId="0" borderId="0" xfId="5" applyFont="1" applyFill="1"/>
    <xf numFmtId="172" fontId="7" fillId="0" borderId="0" xfId="5" applyNumberFormat="1" applyFont="1" applyFill="1" applyAlignment="1"/>
    <xf numFmtId="10" fontId="7" fillId="0" borderId="0" xfId="5" applyNumberFormat="1" applyFont="1" applyFill="1" applyAlignment="1"/>
    <xf numFmtId="173" fontId="7" fillId="0" borderId="0" xfId="5" applyNumberFormat="1" applyFont="1" applyFill="1" applyAlignment="1"/>
    <xf numFmtId="164" fontId="4" fillId="0" borderId="0" xfId="6" applyNumberFormat="1" applyFill="1" applyAlignment="1"/>
    <xf numFmtId="166" fontId="7" fillId="9" borderId="0" xfId="2" applyNumberFormat="1" applyFont="1" applyFill="1"/>
    <xf numFmtId="164" fontId="7" fillId="9" borderId="0" xfId="2" applyFont="1" applyFill="1"/>
    <xf numFmtId="167" fontId="7" fillId="9" borderId="0" xfId="2" applyNumberFormat="1" applyFont="1" applyFill="1"/>
    <xf numFmtId="166" fontId="7" fillId="9" borderId="7" xfId="2" applyNumberFormat="1" applyFont="1" applyFill="1" applyBorder="1"/>
    <xf numFmtId="165" fontId="7" fillId="9" borderId="0" xfId="1" applyNumberFormat="1" applyFont="1" applyFill="1"/>
    <xf numFmtId="164" fontId="7" fillId="8" borderId="2" xfId="2" applyFont="1" applyFill="1" applyBorder="1"/>
    <xf numFmtId="164" fontId="7" fillId="8" borderId="0" xfId="2" applyFont="1" applyFill="1"/>
    <xf numFmtId="165" fontId="7" fillId="0" borderId="0" xfId="1" applyNumberFormat="1" applyFont="1" applyBorder="1"/>
    <xf numFmtId="168" fontId="7" fillId="0" borderId="0" xfId="2" applyNumberFormat="1" applyFont="1" applyBorder="1"/>
    <xf numFmtId="166" fontId="6" fillId="0" borderId="7" xfId="2" applyNumberFormat="1" applyFont="1" applyBorder="1"/>
    <xf numFmtId="165" fontId="7" fillId="0" borderId="0" xfId="2" applyNumberFormat="1" applyFont="1" applyBorder="1"/>
    <xf numFmtId="164" fontId="2" fillId="11" borderId="0" xfId="2" applyFill="1"/>
    <xf numFmtId="164" fontId="2" fillId="11" borderId="3" xfId="2" applyFill="1" applyBorder="1"/>
    <xf numFmtId="164" fontId="2" fillId="11" borderId="5" xfId="2" applyFill="1" applyBorder="1"/>
    <xf numFmtId="164" fontId="9" fillId="11" borderId="9" xfId="2" applyFont="1" applyFill="1" applyBorder="1"/>
    <xf numFmtId="168" fontId="2" fillId="11" borderId="5" xfId="2" applyNumberFormat="1" applyFill="1" applyBorder="1"/>
    <xf numFmtId="168" fontId="9" fillId="11" borderId="9" xfId="2" applyNumberFormat="1" applyFont="1" applyFill="1" applyBorder="1"/>
    <xf numFmtId="165" fontId="9" fillId="11" borderId="9" xfId="1" applyNumberFormat="1" applyFont="1" applyFill="1" applyBorder="1"/>
    <xf numFmtId="164" fontId="2" fillId="7" borderId="0" xfId="2" applyFill="1"/>
    <xf numFmtId="166" fontId="9" fillId="11" borderId="9" xfId="2" applyNumberFormat="1" applyFont="1" applyFill="1" applyBorder="1"/>
    <xf numFmtId="169" fontId="7" fillId="0" borderId="0" xfId="2" applyNumberFormat="1" applyFont="1"/>
    <xf numFmtId="164" fontId="12" fillId="0" borderId="0" xfId="2" applyFont="1" applyAlignment="1">
      <alignment wrapText="1"/>
    </xf>
    <xf numFmtId="164" fontId="13" fillId="2" borderId="7" xfId="2" applyFont="1" applyFill="1" applyBorder="1" applyAlignment="1">
      <alignment horizontal="center"/>
    </xf>
    <xf numFmtId="164" fontId="13" fillId="2" borderId="2" xfId="2" applyFont="1" applyFill="1" applyBorder="1"/>
    <xf numFmtId="164" fontId="13" fillId="2" borderId="0" xfId="2" applyFont="1" applyFill="1"/>
    <xf numFmtId="164" fontId="14" fillId="4" borderId="9" xfId="2" applyFont="1" applyFill="1" applyBorder="1"/>
    <xf numFmtId="168" fontId="13" fillId="2" borderId="0" xfId="2" applyNumberFormat="1" applyFont="1" applyFill="1"/>
    <xf numFmtId="165" fontId="14" fillId="4" borderId="9" xfId="1" applyNumberFormat="1" applyFont="1" applyFill="1" applyBorder="1"/>
    <xf numFmtId="166" fontId="14" fillId="4" borderId="9" xfId="2" applyNumberFormat="1" applyFont="1" applyFill="1" applyBorder="1"/>
    <xf numFmtId="164" fontId="13" fillId="0" borderId="0" xfId="2" applyFont="1"/>
    <xf numFmtId="164" fontId="14" fillId="2" borderId="2" xfId="2" applyFont="1" applyFill="1" applyBorder="1" applyAlignment="1">
      <alignment horizontal="center"/>
    </xf>
    <xf numFmtId="164" fontId="15" fillId="2" borderId="2" xfId="2" applyFont="1" applyFill="1" applyBorder="1" applyAlignment="1">
      <alignment horizontal="center"/>
    </xf>
    <xf numFmtId="164" fontId="15" fillId="2" borderId="0" xfId="2" applyFont="1" applyFill="1" applyAlignment="1">
      <alignment horizontal="center"/>
    </xf>
    <xf numFmtId="164" fontId="15" fillId="2" borderId="2" xfId="2" applyFont="1" applyFill="1" applyBorder="1"/>
    <xf numFmtId="166" fontId="15" fillId="2" borderId="0" xfId="2" applyNumberFormat="1" applyFont="1" applyFill="1"/>
    <xf numFmtId="164" fontId="15" fillId="2" borderId="0" xfId="2" applyFont="1" applyFill="1"/>
    <xf numFmtId="167" fontId="15" fillId="2" borderId="0" xfId="2" applyNumberFormat="1" applyFont="1" applyFill="1"/>
    <xf numFmtId="166" fontId="15" fillId="2" borderId="7" xfId="2" applyNumberFormat="1" applyFont="1" applyFill="1" applyBorder="1"/>
    <xf numFmtId="165" fontId="15" fillId="2" borderId="0" xfId="2" applyNumberFormat="1" applyFont="1" applyFill="1"/>
    <xf numFmtId="168" fontId="15" fillId="2" borderId="0" xfId="2" applyNumberFormat="1" applyFont="1" applyFill="1"/>
    <xf numFmtId="165" fontId="15" fillId="2" borderId="7" xfId="1" applyNumberFormat="1" applyFont="1" applyFill="1" applyBorder="1"/>
    <xf numFmtId="165" fontId="16" fillId="4" borderId="7" xfId="2" applyNumberFormat="1" applyFont="1" applyFill="1" applyBorder="1"/>
    <xf numFmtId="165" fontId="15" fillId="3" borderId="0" xfId="2" applyNumberFormat="1" applyFont="1" applyFill="1"/>
    <xf numFmtId="165" fontId="15" fillId="2" borderId="7" xfId="2" applyNumberFormat="1" applyFont="1" applyFill="1" applyBorder="1"/>
    <xf numFmtId="164" fontId="15" fillId="0" borderId="0" xfId="2" applyFont="1"/>
    <xf numFmtId="164" fontId="2" fillId="0" borderId="0" xfId="2" applyBorder="1" applyAlignment="1">
      <alignment horizontal="center"/>
    </xf>
    <xf numFmtId="164" fontId="2" fillId="0" borderId="0" xfId="2" applyBorder="1"/>
    <xf numFmtId="166" fontId="9" fillId="0" borderId="0" xfId="2" applyNumberFormat="1" applyFont="1" applyBorder="1"/>
    <xf numFmtId="164" fontId="2" fillId="8" borderId="0" xfId="2" applyFill="1" applyBorder="1"/>
    <xf numFmtId="166" fontId="2" fillId="6" borderId="0" xfId="2" applyNumberFormat="1" applyFill="1" applyBorder="1"/>
    <xf numFmtId="165" fontId="9" fillId="0" borderId="0" xfId="1" applyNumberFormat="1" applyFont="1" applyBorder="1"/>
    <xf numFmtId="164" fontId="9" fillId="0" borderId="0" xfId="2" applyFont="1" applyBorder="1"/>
    <xf numFmtId="3" fontId="2" fillId="4" borderId="0" xfId="2" applyNumberFormat="1" applyFill="1"/>
    <xf numFmtId="165" fontId="2" fillId="0" borderId="5" xfId="1" applyNumberFormat="1" applyBorder="1"/>
    <xf numFmtId="165" fontId="2" fillId="0" borderId="0" xfId="1" applyNumberFormat="1" applyBorder="1"/>
    <xf numFmtId="164" fontId="2" fillId="6" borderId="0" xfId="2" applyFill="1" applyBorder="1"/>
    <xf numFmtId="165" fontId="9" fillId="0" borderId="0" xfId="2" applyNumberFormat="1" applyFont="1" applyBorder="1"/>
    <xf numFmtId="3" fontId="9" fillId="4" borderId="9" xfId="2" applyNumberFormat="1" applyFont="1" applyFill="1" applyBorder="1"/>
    <xf numFmtId="164" fontId="2" fillId="11" borderId="0" xfId="2" applyFill="1" applyAlignment="1">
      <alignment horizontal="center"/>
    </xf>
    <xf numFmtId="168" fontId="2" fillId="0" borderId="0" xfId="2" applyNumberFormat="1" applyBorder="1"/>
    <xf numFmtId="168" fontId="9" fillId="0" borderId="0" xfId="2" applyNumberFormat="1" applyFont="1" applyBorder="1"/>
    <xf numFmtId="164" fontId="9" fillId="11" borderId="5" xfId="2" applyFont="1" applyFill="1" applyBorder="1"/>
    <xf numFmtId="164" fontId="9" fillId="12" borderId="9" xfId="2" applyFont="1" applyFill="1" applyBorder="1"/>
    <xf numFmtId="166" fontId="2" fillId="0" borderId="0" xfId="2" applyNumberFormat="1" applyBorder="1"/>
    <xf numFmtId="166" fontId="9" fillId="0" borderId="10" xfId="2" applyNumberFormat="1" applyFont="1" applyBorder="1"/>
    <xf numFmtId="165" fontId="9" fillId="0" borderId="7" xfId="1" applyNumberFormat="1" applyFont="1" applyBorder="1"/>
    <xf numFmtId="165" fontId="9" fillId="0" borderId="10" xfId="2" applyNumberFormat="1" applyFont="1" applyBorder="1"/>
    <xf numFmtId="164" fontId="2" fillId="11" borderId="0" xfId="2" applyFill="1" applyBorder="1"/>
    <xf numFmtId="166" fontId="2" fillId="11" borderId="0" xfId="2" applyNumberFormat="1" applyFill="1" applyBorder="1"/>
    <xf numFmtId="176" fontId="2" fillId="11" borderId="0" xfId="2" applyNumberFormat="1" applyFill="1" applyBorder="1"/>
    <xf numFmtId="176" fontId="2" fillId="11" borderId="11" xfId="2" applyNumberFormat="1" applyFill="1" applyBorder="1" applyAlignment="1">
      <alignment horizontal="right"/>
    </xf>
    <xf numFmtId="176" fontId="9" fillId="11" borderId="11" xfId="2" applyNumberFormat="1" applyFont="1" applyFill="1" applyBorder="1"/>
    <xf numFmtId="176" fontId="2" fillId="11" borderId="11" xfId="2" applyNumberFormat="1" applyFill="1" applyBorder="1"/>
    <xf numFmtId="165" fontId="9" fillId="11" borderId="11" xfId="1" applyNumberFormat="1" applyFont="1" applyFill="1" applyBorder="1"/>
    <xf numFmtId="3" fontId="9" fillId="11" borderId="9" xfId="2" applyNumberFormat="1" applyFont="1" applyFill="1" applyBorder="1"/>
    <xf numFmtId="164" fontId="7" fillId="10" borderId="14" xfId="2" applyFont="1" applyFill="1" applyBorder="1" applyAlignment="1">
      <alignment horizontal="center"/>
    </xf>
    <xf numFmtId="164" fontId="7" fillId="10" borderId="14" xfId="2" applyFont="1" applyFill="1" applyBorder="1"/>
    <xf numFmtId="176" fontId="7" fillId="10" borderId="14" xfId="2" applyNumberFormat="1" applyFont="1" applyFill="1" applyBorder="1"/>
    <xf numFmtId="176" fontId="7" fillId="10" borderId="13" xfId="2" applyNumberFormat="1" applyFont="1" applyFill="1" applyBorder="1"/>
    <xf numFmtId="176" fontId="7" fillId="10" borderId="15" xfId="2" applyNumberFormat="1" applyFont="1" applyFill="1" applyBorder="1"/>
    <xf numFmtId="176" fontId="7" fillId="10" borderId="14" xfId="1" applyNumberFormat="1" applyFont="1" applyFill="1" applyBorder="1"/>
    <xf numFmtId="164" fontId="7" fillId="0" borderId="0" xfId="2" applyFont="1" applyBorder="1"/>
    <xf numFmtId="165" fontId="6" fillId="4" borderId="11" xfId="2" applyNumberFormat="1" applyFont="1" applyFill="1" applyBorder="1"/>
    <xf numFmtId="166" fontId="6" fillId="0" borderId="11" xfId="2" applyNumberFormat="1" applyFont="1" applyBorder="1"/>
    <xf numFmtId="176" fontId="6" fillId="10" borderId="11" xfId="2" applyNumberFormat="1" applyFont="1" applyFill="1" applyBorder="1"/>
    <xf numFmtId="176" fontId="7" fillId="10" borderId="11" xfId="2" applyNumberFormat="1" applyFont="1" applyFill="1" applyBorder="1"/>
    <xf numFmtId="165" fontId="11" fillId="0" borderId="7" xfId="2" applyNumberFormat="1" applyFont="1" applyBorder="1"/>
    <xf numFmtId="165" fontId="7" fillId="0" borderId="16" xfId="2" applyNumberFormat="1" applyFont="1" applyBorder="1"/>
    <xf numFmtId="164" fontId="7" fillId="4" borderId="12" xfId="2" applyFont="1" applyFill="1" applyBorder="1"/>
    <xf numFmtId="165" fontId="7" fillId="4" borderId="11" xfId="2" applyNumberFormat="1" applyFont="1" applyFill="1" applyBorder="1"/>
    <xf numFmtId="165" fontId="7" fillId="0" borderId="11" xfId="2" applyNumberFormat="1" applyFont="1" applyBorder="1"/>
    <xf numFmtId="165" fontId="11" fillId="10" borderId="11" xfId="2" applyNumberFormat="1" applyFont="1" applyFill="1" applyBorder="1"/>
    <xf numFmtId="164" fontId="7" fillId="10" borderId="3" xfId="2" applyFont="1" applyFill="1" applyBorder="1" applyAlignment="1">
      <alignment horizontal="center"/>
    </xf>
    <xf numFmtId="0" fontId="0" fillId="0" borderId="0" xfId="0"/>
  </cellXfs>
  <cellStyles count="9">
    <cellStyle name="Excel Built-in Comma" xfId="1" xr:uid="{00000000-0005-0000-0000-000001000000}"/>
    <cellStyle name="Excel Built-in Normal" xfId="2" xr:uid="{00000000-0005-0000-0000-000002000000}"/>
    <cellStyle name="Heading" xfId="3" xr:uid="{00000000-0005-0000-0000-000003000000}"/>
    <cellStyle name="Heading1" xfId="4" xr:uid="{00000000-0005-0000-0000-000004000000}"/>
    <cellStyle name="Komma" xfId="5" builtinId="3"/>
    <cellStyle name="Link" xfId="6" xr:uid="{00000000-0005-0000-0000-000005000000}"/>
    <cellStyle name="Normal" xfId="0" builtinId="0" customBuiltin="1"/>
    <cellStyle name="Result" xfId="7" xr:uid="{00000000-0005-0000-0000-000007000000}"/>
    <cellStyle name="Result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9"/>
  <sheetViews>
    <sheetView zoomScale="70" zoomScaleNormal="70" workbookViewId="0">
      <selection activeCell="P22" sqref="P22"/>
    </sheetView>
  </sheetViews>
  <sheetFormatPr defaultColWidth="11.75" defaultRowHeight="21" outlineLevelCol="1" x14ac:dyDescent="0.35"/>
  <cols>
    <col min="1" max="1" width="33.375" style="5" bestFit="1" customWidth="1"/>
    <col min="2" max="4" width="11.75" style="5" customWidth="1"/>
    <col min="5" max="5" width="13.25" style="5" hidden="1" customWidth="1" outlineLevel="1"/>
    <col min="6" max="6" width="9.875" style="160" hidden="1" customWidth="1" outlineLevel="1"/>
    <col min="7" max="7" width="11.75" style="5" customWidth="1" collapsed="1"/>
    <col min="8" max="8" width="5.25" style="5" customWidth="1"/>
    <col min="9" max="9" width="11.75" style="5" customWidth="1"/>
    <col min="10" max="10" width="3.625" style="5" customWidth="1"/>
    <col min="11" max="11" width="14.625" style="5" bestFit="1" customWidth="1"/>
    <col min="12" max="12" width="41" style="5" hidden="1" customWidth="1" outlineLevel="1"/>
    <col min="13" max="13" width="15.875" style="5" hidden="1" customWidth="1" outlineLevel="1"/>
    <col min="14" max="14" width="6.125" style="5" customWidth="1" collapsed="1"/>
    <col min="15" max="15" width="19.375" style="5" bestFit="1" customWidth="1"/>
    <col min="16" max="16" width="14.625" style="5" bestFit="1" customWidth="1"/>
    <col min="17" max="17" width="16.75" style="5" bestFit="1" customWidth="1"/>
    <col min="18" max="18" width="6.625" style="5" customWidth="1"/>
    <col min="19" max="19" width="4.875" style="5" customWidth="1"/>
    <col min="20" max="21" width="6.125" style="5" customWidth="1"/>
    <col min="22" max="22" width="12.875" style="5" bestFit="1" customWidth="1"/>
    <col min="23" max="23" width="9.875" style="5" customWidth="1"/>
    <col min="24" max="24" width="15.875" style="5" bestFit="1" customWidth="1"/>
    <col min="25" max="16384" width="11.75" style="5"/>
  </cols>
  <sheetData>
    <row r="1" spans="1:24" x14ac:dyDescent="0.35">
      <c r="A1" s="1" t="s">
        <v>0</v>
      </c>
      <c r="B1" s="2"/>
      <c r="C1" s="2"/>
      <c r="D1" s="2"/>
      <c r="E1" s="3" t="s">
        <v>1</v>
      </c>
      <c r="F1" s="147" t="s">
        <v>2</v>
      </c>
      <c r="G1" s="3" t="s">
        <v>176</v>
      </c>
      <c r="H1" s="2"/>
      <c r="I1" s="4" t="s">
        <v>175</v>
      </c>
      <c r="K1" s="208" t="s">
        <v>174</v>
      </c>
    </row>
    <row r="2" spans="1:24" x14ac:dyDescent="0.35">
      <c r="A2" s="6" t="s">
        <v>3</v>
      </c>
      <c r="E2" s="7">
        <v>2022</v>
      </c>
      <c r="F2" s="148">
        <v>2023</v>
      </c>
      <c r="G2" s="7">
        <v>2024</v>
      </c>
      <c r="I2" s="8">
        <v>2024</v>
      </c>
      <c r="K2" s="191">
        <v>2025</v>
      </c>
    </row>
    <row r="3" spans="1:24" x14ac:dyDescent="0.35">
      <c r="A3" s="9"/>
      <c r="B3" s="2"/>
      <c r="C3" s="2"/>
      <c r="D3" s="2"/>
      <c r="E3" s="2"/>
      <c r="F3" s="149"/>
      <c r="G3" s="2"/>
      <c r="H3" s="2"/>
      <c r="I3" s="10"/>
      <c r="K3" s="192"/>
    </row>
    <row r="4" spans="1:24" x14ac:dyDescent="0.35">
      <c r="A4" s="6" t="s">
        <v>5</v>
      </c>
      <c r="E4" s="11">
        <v>1259</v>
      </c>
      <c r="F4" s="150">
        <v>1300</v>
      </c>
      <c r="G4" s="116">
        <v>1314</v>
      </c>
      <c r="I4" s="12">
        <v>1320</v>
      </c>
      <c r="K4" s="193">
        <v>1310</v>
      </c>
    </row>
    <row r="5" spans="1:24" x14ac:dyDescent="0.35">
      <c r="A5" s="6" t="s">
        <v>6</v>
      </c>
      <c r="E5" s="11">
        <v>24865</v>
      </c>
      <c r="F5" s="150">
        <v>27300</v>
      </c>
      <c r="G5" s="116">
        <v>25197</v>
      </c>
      <c r="I5" s="12">
        <f>I6-I7</f>
        <v>27846</v>
      </c>
      <c r="K5" s="193">
        <v>26500</v>
      </c>
    </row>
    <row r="6" spans="1:24" x14ac:dyDescent="0.35">
      <c r="A6" s="6" t="s">
        <v>7</v>
      </c>
      <c r="E6" s="11">
        <v>31838</v>
      </c>
      <c r="F6" s="150">
        <v>35000</v>
      </c>
      <c r="G6" s="116">
        <v>32386</v>
      </c>
      <c r="I6" s="12">
        <f>F6*1.02</f>
        <v>35700</v>
      </c>
      <c r="K6" s="193">
        <v>33000</v>
      </c>
      <c r="L6" s="5" t="s">
        <v>8</v>
      </c>
    </row>
    <row r="7" spans="1:24" x14ac:dyDescent="0.35">
      <c r="A7" s="6" t="s">
        <v>9</v>
      </c>
      <c r="E7" s="11">
        <f>E6-E5</f>
        <v>6973</v>
      </c>
      <c r="F7" s="150">
        <v>7700</v>
      </c>
      <c r="G7" s="116">
        <v>7189</v>
      </c>
      <c r="I7" s="12">
        <v>7854</v>
      </c>
      <c r="J7" s="13"/>
      <c r="K7" s="193">
        <v>7500</v>
      </c>
    </row>
    <row r="8" spans="1:24" x14ac:dyDescent="0.35">
      <c r="A8" s="6" t="s">
        <v>10</v>
      </c>
      <c r="E8" s="11">
        <v>480</v>
      </c>
      <c r="F8" s="151">
        <v>480</v>
      </c>
      <c r="G8" s="117">
        <v>525</v>
      </c>
      <c r="I8" s="15">
        <v>525</v>
      </c>
      <c r="K8" s="193">
        <f>I8*(1+(M8/100))</f>
        <v>565.95000000000005</v>
      </c>
      <c r="L8" s="5" t="s">
        <v>11</v>
      </c>
      <c r="M8" s="5">
        <v>7.8</v>
      </c>
      <c r="O8" s="16"/>
      <c r="P8" s="17"/>
      <c r="Q8" s="111"/>
    </row>
    <row r="9" spans="1:24" x14ac:dyDescent="0.35">
      <c r="A9" s="6" t="s">
        <v>12</v>
      </c>
      <c r="E9" s="11">
        <v>374.4</v>
      </c>
      <c r="F9" s="151">
        <v>392.4</v>
      </c>
      <c r="G9" s="117">
        <v>428</v>
      </c>
      <c r="I9" s="15">
        <v>428</v>
      </c>
      <c r="K9" s="193">
        <v>464</v>
      </c>
      <c r="L9" s="5" t="s">
        <v>13</v>
      </c>
      <c r="M9" s="136">
        <f>(1-I9/K9)*100</f>
        <v>7.7586206896551708</v>
      </c>
      <c r="O9" s="18"/>
    </row>
    <row r="10" spans="1:24" x14ac:dyDescent="0.35">
      <c r="A10" s="6" t="s">
        <v>14</v>
      </c>
      <c r="E10" s="19">
        <v>25.7</v>
      </c>
      <c r="F10" s="152">
        <v>25.7</v>
      </c>
      <c r="G10" s="118">
        <v>27</v>
      </c>
      <c r="I10" s="20">
        <v>27</v>
      </c>
      <c r="K10" s="193">
        <v>27</v>
      </c>
      <c r="O10" s="18"/>
      <c r="Q10" s="112"/>
      <c r="V10" s="112"/>
      <c r="W10" s="112"/>
      <c r="X10" s="113"/>
    </row>
    <row r="11" spans="1:24" x14ac:dyDescent="0.35">
      <c r="A11" s="6" t="s">
        <v>15</v>
      </c>
      <c r="E11" s="11">
        <v>425</v>
      </c>
      <c r="F11" s="151">
        <v>425</v>
      </c>
      <c r="G11" s="117">
        <v>425</v>
      </c>
      <c r="I11" s="15">
        <v>425</v>
      </c>
      <c r="K11" s="193">
        <v>425</v>
      </c>
      <c r="O11" s="18"/>
      <c r="V11" s="112"/>
      <c r="W11" s="112"/>
      <c r="X11" s="113"/>
    </row>
    <row r="12" spans="1:24" x14ac:dyDescent="0.35">
      <c r="A12" s="21" t="s">
        <v>16</v>
      </c>
      <c r="B12" s="22"/>
      <c r="C12" s="22"/>
      <c r="D12" s="22"/>
      <c r="E12" s="23">
        <v>235313</v>
      </c>
      <c r="F12" s="153">
        <v>240000</v>
      </c>
      <c r="G12" s="119">
        <v>235659</v>
      </c>
      <c r="H12" s="22"/>
      <c r="I12" s="24">
        <v>245000</v>
      </c>
      <c r="K12" s="194">
        <v>240000</v>
      </c>
      <c r="V12" s="112"/>
      <c r="W12" s="112"/>
      <c r="X12" s="113"/>
    </row>
    <row r="13" spans="1:24" x14ac:dyDescent="0.35">
      <c r="A13" s="1" t="s">
        <v>17</v>
      </c>
      <c r="B13" s="25"/>
      <c r="C13" s="25"/>
      <c r="D13" s="25"/>
      <c r="E13" s="121"/>
      <c r="F13" s="149"/>
      <c r="G13" s="2"/>
      <c r="H13" s="2"/>
      <c r="I13" s="10"/>
      <c r="K13" s="195"/>
      <c r="V13" s="112"/>
      <c r="W13" s="112"/>
      <c r="X13" s="113"/>
    </row>
    <row r="14" spans="1:24" x14ac:dyDescent="0.35">
      <c r="A14" s="26" t="s">
        <v>18</v>
      </c>
      <c r="B14" s="27"/>
      <c r="E14" s="122"/>
      <c r="F14" s="151"/>
      <c r="I14" s="15"/>
      <c r="K14" s="193"/>
      <c r="V14" s="112"/>
      <c r="W14" s="112"/>
      <c r="X14" s="113"/>
    </row>
    <row r="15" spans="1:24" x14ac:dyDescent="0.35">
      <c r="A15" s="6" t="s">
        <v>19</v>
      </c>
      <c r="E15" s="11">
        <v>11946</v>
      </c>
      <c r="F15" s="154">
        <v>13104</v>
      </c>
      <c r="G15" s="28">
        <v>13272</v>
      </c>
      <c r="I15" s="29">
        <f>I5*I8/1000</f>
        <v>14619.15</v>
      </c>
      <c r="J15" s="123"/>
      <c r="K15" s="196">
        <f t="shared" ref="K15" si="0">K5*K8/1000</f>
        <v>14997.675000000001</v>
      </c>
      <c r="V15" s="112"/>
      <c r="W15" s="112"/>
      <c r="X15" s="113"/>
    </row>
    <row r="16" spans="1:24" x14ac:dyDescent="0.35">
      <c r="A16" s="6" t="s">
        <v>20</v>
      </c>
      <c r="E16" s="11">
        <v>5915</v>
      </c>
      <c r="F16" s="154">
        <v>6168</v>
      </c>
      <c r="G16" s="28">
        <v>6352</v>
      </c>
      <c r="I16" s="29">
        <f>I12*I10/1000</f>
        <v>6615</v>
      </c>
      <c r="J16" s="123"/>
      <c r="K16" s="196">
        <f t="shared" ref="K16" si="1">K12*K10/1000</f>
        <v>6480</v>
      </c>
      <c r="V16" s="112"/>
      <c r="W16" s="112"/>
      <c r="X16" s="114"/>
    </row>
    <row r="17" spans="1:17" x14ac:dyDescent="0.35">
      <c r="A17" s="6" t="s">
        <v>15</v>
      </c>
      <c r="E17" s="11">
        <v>531</v>
      </c>
      <c r="F17" s="155">
        <v>552</v>
      </c>
      <c r="G17" s="30">
        <v>552</v>
      </c>
      <c r="I17" s="31">
        <f>I4*I11/1000</f>
        <v>561</v>
      </c>
      <c r="J17" s="124"/>
      <c r="K17" s="193">
        <v>561</v>
      </c>
      <c r="Q17" s="115"/>
    </row>
    <row r="18" spans="1:17" x14ac:dyDescent="0.35">
      <c r="A18" s="6" t="s">
        <v>21</v>
      </c>
      <c r="E18" s="11">
        <v>107</v>
      </c>
      <c r="F18" s="151">
        <v>110</v>
      </c>
      <c r="G18" s="14">
        <v>114</v>
      </c>
      <c r="I18" s="15">
        <v>110</v>
      </c>
      <c r="K18" s="193">
        <v>114</v>
      </c>
    </row>
    <row r="19" spans="1:17" x14ac:dyDescent="0.35">
      <c r="A19" s="6" t="s">
        <v>22</v>
      </c>
      <c r="E19" s="11">
        <v>40</v>
      </c>
      <c r="F19" s="151">
        <v>45</v>
      </c>
      <c r="G19" s="14">
        <v>25</v>
      </c>
      <c r="I19" s="15">
        <f>Øvrige!H11</f>
        <v>45</v>
      </c>
      <c r="K19" s="193">
        <v>45</v>
      </c>
    </row>
    <row r="20" spans="1:17" x14ac:dyDescent="0.35">
      <c r="A20" s="22" t="s">
        <v>23</v>
      </c>
      <c r="B20" s="22"/>
      <c r="C20" s="22"/>
      <c r="D20" s="22"/>
      <c r="E20" s="32">
        <f>SUM(E15:E19)</f>
        <v>18539</v>
      </c>
      <c r="F20" s="156">
        <v>19979</v>
      </c>
      <c r="G20" s="33">
        <f>SUM(G15:G19)</f>
        <v>20315</v>
      </c>
      <c r="H20" s="22"/>
      <c r="I20" s="34">
        <f>SUM(I15:I19)</f>
        <v>21950.15</v>
      </c>
      <c r="K20" s="201">
        <f>SUM(K15:K19)</f>
        <v>22197.675000000003</v>
      </c>
    </row>
    <row r="21" spans="1:17" x14ac:dyDescent="0.35">
      <c r="A21" s="35" t="s">
        <v>24</v>
      </c>
      <c r="B21" s="36"/>
      <c r="C21" s="2"/>
      <c r="D21" s="2"/>
      <c r="E21" s="2"/>
      <c r="F21" s="149"/>
      <c r="G21" s="2"/>
      <c r="H21" s="2"/>
      <c r="I21" s="10"/>
      <c r="K21" s="193"/>
    </row>
    <row r="22" spans="1:17" x14ac:dyDescent="0.35">
      <c r="A22" s="6" t="s">
        <v>25</v>
      </c>
      <c r="E22" s="28">
        <f>Prod__og_distr_!E14</f>
        <v>12065</v>
      </c>
      <c r="F22" s="150">
        <f>Prod__og_distr_!F14</f>
        <v>13889</v>
      </c>
      <c r="G22" s="28">
        <f>Prod__og_distr_!G14</f>
        <v>14031.208000000001</v>
      </c>
      <c r="I22" s="12">
        <f>Prod__og_distr_!I14</f>
        <v>15473.6</v>
      </c>
      <c r="K22" s="193">
        <f>Prod__og_distr_!Z14</f>
        <v>15043</v>
      </c>
    </row>
    <row r="23" spans="1:17" x14ac:dyDescent="0.35">
      <c r="A23" s="6" t="s">
        <v>26</v>
      </c>
      <c r="E23" s="28">
        <f>Prod__og_distr_!E71</f>
        <v>4476</v>
      </c>
      <c r="F23" s="154">
        <f>Prod__og_distr_!F71</f>
        <v>4858</v>
      </c>
      <c r="G23" s="28">
        <f>Prod__og_distr_!G71</f>
        <v>3822</v>
      </c>
      <c r="I23" s="29">
        <f>Prod__og_distr_!I71</f>
        <v>4310</v>
      </c>
      <c r="K23" s="193">
        <f>Prod__og_distr_!Z71</f>
        <v>4426</v>
      </c>
    </row>
    <row r="24" spans="1:17" x14ac:dyDescent="0.35">
      <c r="A24" s="6" t="s">
        <v>27</v>
      </c>
      <c r="E24" s="28">
        <f>Adm!E54</f>
        <v>1452</v>
      </c>
      <c r="F24" s="154">
        <f>Adm!F54</f>
        <v>1669</v>
      </c>
      <c r="G24" s="28">
        <f>Adm!G54</f>
        <v>2109</v>
      </c>
      <c r="I24" s="29">
        <f>Adm!I54</f>
        <v>1751</v>
      </c>
      <c r="K24" s="193">
        <f>Adm!K54</f>
        <v>1762</v>
      </c>
    </row>
    <row r="25" spans="1:17" x14ac:dyDescent="0.35">
      <c r="A25" s="6" t="s">
        <v>28</v>
      </c>
      <c r="E25" s="28"/>
      <c r="F25" s="154"/>
      <c r="G25" s="120">
        <v>0</v>
      </c>
      <c r="I25" s="29"/>
      <c r="K25" s="193"/>
    </row>
    <row r="26" spans="1:17" x14ac:dyDescent="0.35">
      <c r="A26" s="6" t="s">
        <v>29</v>
      </c>
      <c r="E26" s="14">
        <v>601</v>
      </c>
      <c r="F26" s="151">
        <v>518</v>
      </c>
      <c r="G26" s="14">
        <v>643</v>
      </c>
      <c r="I26" s="15">
        <f>492</f>
        <v>492</v>
      </c>
      <c r="K26" s="193">
        <v>550</v>
      </c>
    </row>
    <row r="27" spans="1:17" x14ac:dyDescent="0.35">
      <c r="A27" s="21"/>
      <c r="B27" s="22" t="s">
        <v>23</v>
      </c>
      <c r="C27" s="22"/>
      <c r="D27" s="22"/>
      <c r="E27" s="37">
        <f>SUM(E22:E26)</f>
        <v>18594</v>
      </c>
      <c r="F27" s="157">
        <f>SUM(F22:F26)</f>
        <v>20934</v>
      </c>
      <c r="G27" s="198">
        <f>SUM(G22:G26)</f>
        <v>20605.207999999999</v>
      </c>
      <c r="H27" s="22"/>
      <c r="I27" s="199">
        <f>SUM(I22:I26)</f>
        <v>22026.6</v>
      </c>
      <c r="J27" s="125"/>
      <c r="K27" s="200">
        <f t="shared" ref="K27" si="2">SUM(K22:K26)</f>
        <v>21781</v>
      </c>
    </row>
    <row r="28" spans="1:17" x14ac:dyDescent="0.35">
      <c r="A28" s="35" t="s">
        <v>30</v>
      </c>
      <c r="B28" s="36"/>
      <c r="C28" s="2"/>
      <c r="D28" s="2"/>
      <c r="E28" s="2"/>
      <c r="F28" s="149"/>
      <c r="G28" s="197"/>
      <c r="H28" s="2"/>
      <c r="I28" s="15"/>
      <c r="K28" s="193"/>
    </row>
    <row r="29" spans="1:17" x14ac:dyDescent="0.35">
      <c r="A29" s="6" t="s">
        <v>31</v>
      </c>
      <c r="B29" s="27"/>
      <c r="E29" s="13">
        <f>E20-E27</f>
        <v>-55</v>
      </c>
      <c r="F29" s="158">
        <f>F20-F27</f>
        <v>-955</v>
      </c>
      <c r="G29" s="38">
        <f>G20-G27</f>
        <v>-290.20799999999872</v>
      </c>
      <c r="H29" s="13"/>
      <c r="I29" s="39">
        <f>I20-I27</f>
        <v>-76.44999999999709</v>
      </c>
      <c r="J29" s="126"/>
      <c r="K29" s="193">
        <f>K20-K27</f>
        <v>416.67500000000291</v>
      </c>
    </row>
    <row r="30" spans="1:17" x14ac:dyDescent="0.35">
      <c r="A30" s="6" t="s">
        <v>32</v>
      </c>
      <c r="F30" s="154"/>
      <c r="G30" s="204">
        <v>10</v>
      </c>
      <c r="I30" s="203">
        <v>76</v>
      </c>
      <c r="K30" s="194">
        <v>-417</v>
      </c>
    </row>
    <row r="31" spans="1:17" x14ac:dyDescent="0.35">
      <c r="A31" s="21" t="s">
        <v>33</v>
      </c>
      <c r="B31" s="22"/>
      <c r="C31" s="22"/>
      <c r="D31" s="22"/>
      <c r="E31" s="22"/>
      <c r="F31" s="159"/>
      <c r="G31" s="205">
        <f>G29+G30</f>
        <v>-280.20799999999872</v>
      </c>
      <c r="H31" s="22"/>
      <c r="I31" s="206">
        <f>I29+I30</f>
        <v>-0.44999999999708962</v>
      </c>
      <c r="J31" s="202"/>
      <c r="K31" s="207">
        <f>K29+K30</f>
        <v>-0.32499999999708962</v>
      </c>
    </row>
    <row r="32" spans="1:17" x14ac:dyDescent="0.35">
      <c r="J32" s="13"/>
    </row>
    <row r="33" spans="3:12" ht="42" customHeight="1" x14ac:dyDescent="0.35">
      <c r="I33" s="137"/>
      <c r="J33" s="137"/>
      <c r="K33" s="137"/>
      <c r="L33" s="160" t="s">
        <v>34</v>
      </c>
    </row>
    <row r="34" spans="3:12" x14ac:dyDescent="0.35">
      <c r="C34" s="7"/>
    </row>
    <row r="35" spans="3:12" x14ac:dyDescent="0.35">
      <c r="C35" s="7"/>
    </row>
    <row r="36" spans="3:12" x14ac:dyDescent="0.35">
      <c r="C36" s="7"/>
      <c r="D36" s="40"/>
      <c r="E36" s="40"/>
    </row>
    <row r="37" spans="3:12" x14ac:dyDescent="0.35">
      <c r="C37" s="41"/>
      <c r="D37" s="40"/>
      <c r="E37" s="40"/>
    </row>
    <row r="38" spans="3:12" x14ac:dyDescent="0.35">
      <c r="D38" s="40"/>
      <c r="E38" s="40"/>
    </row>
    <row r="39" spans="3:12" x14ac:dyDescent="0.35">
      <c r="E39" s="40"/>
    </row>
  </sheetData>
  <pageMargins left="0.70000000000000007" right="0.70000000000000007" top="1.1437007874015752" bottom="1.1437007874015752" header="0.75000000000000011" footer="0.75000000000000011"/>
  <pageSetup paperSize="0" orientation="landscape" horizontalDpi="0" verticalDpi="0" copies="0"/>
  <headerFooter alignWithMargins="0">
    <oddHeader xml:space="preserve">&amp;R&amp;"Calibri,Regular"&amp;10 RESTRICTED&amp;1#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760F3-E63D-427E-A083-4DD0B3FE98E6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72"/>
  <sheetViews>
    <sheetView topLeftCell="A24" workbookViewId="0">
      <selection activeCell="Z16" sqref="Z16"/>
    </sheetView>
  </sheetViews>
  <sheetFormatPr defaultColWidth="11.75" defaultRowHeight="15" outlineLevelCol="1" x14ac:dyDescent="0.25"/>
  <cols>
    <col min="1" max="3" width="11.75" style="48" customWidth="1"/>
    <col min="4" max="4" width="4.5" style="48" customWidth="1"/>
    <col min="5" max="5" width="8.625" style="48" hidden="1" customWidth="1" outlineLevel="1"/>
    <col min="6" max="6" width="9" style="48" hidden="1" customWidth="1" outlineLevel="1"/>
    <col min="7" max="7" width="8.5" style="48" customWidth="1" collapsed="1"/>
    <col min="8" max="8" width="5.75" style="48" customWidth="1"/>
    <col min="9" max="9" width="9.5" style="48" customWidth="1"/>
    <col min="10" max="10" width="6.125" style="48" customWidth="1"/>
    <col min="11" max="11" width="16.25" style="48" hidden="1" customWidth="1"/>
    <col min="12" max="12" width="27.625" style="48" hidden="1" customWidth="1"/>
    <col min="13" max="14" width="22.375" style="48" hidden="1" customWidth="1"/>
    <col min="15" max="16" width="4.875" style="48" hidden="1" customWidth="1"/>
    <col min="17" max="21" width="3.875" style="48" hidden="1" customWidth="1"/>
    <col min="22" max="22" width="4.875" style="48" hidden="1" customWidth="1"/>
    <col min="23" max="23" width="4.375" style="48" hidden="1" customWidth="1"/>
    <col min="24" max="24" width="5.5" style="48" hidden="1" customWidth="1"/>
    <col min="25" max="25" width="11.5" style="48" hidden="1" customWidth="1"/>
    <col min="26" max="26" width="8.75" style="48" bestFit="1" customWidth="1"/>
    <col min="27" max="27" width="37.125" style="48" hidden="1" customWidth="1" outlineLevel="1"/>
    <col min="28" max="28" width="11.75" style="48" collapsed="1"/>
    <col min="29" max="16384" width="11.75" style="48"/>
  </cols>
  <sheetData>
    <row r="1" spans="1:27" x14ac:dyDescent="0.25">
      <c r="A1" s="42" t="s">
        <v>36</v>
      </c>
      <c r="B1" s="43"/>
      <c r="C1" s="43"/>
      <c r="D1" s="43"/>
      <c r="E1" s="44" t="s">
        <v>1</v>
      </c>
      <c r="F1" s="45" t="s">
        <v>2</v>
      </c>
      <c r="G1" s="44" t="s">
        <v>31</v>
      </c>
      <c r="H1" s="43"/>
      <c r="I1" s="46" t="s">
        <v>2</v>
      </c>
      <c r="J1" s="161"/>
      <c r="K1" s="209"/>
      <c r="L1" s="209"/>
      <c r="Z1" s="127"/>
    </row>
    <row r="2" spans="1:27" x14ac:dyDescent="0.25">
      <c r="A2" s="49" t="s">
        <v>3</v>
      </c>
      <c r="E2" s="50">
        <v>2022</v>
      </c>
      <c r="F2" s="51">
        <v>2023</v>
      </c>
      <c r="G2" s="50">
        <v>2024</v>
      </c>
      <c r="H2" s="52"/>
      <c r="I2" s="53">
        <v>2024</v>
      </c>
      <c r="J2" s="161"/>
      <c r="Z2" s="127" t="s">
        <v>4</v>
      </c>
    </row>
    <row r="3" spans="1:27" x14ac:dyDescent="0.25">
      <c r="A3" s="42" t="s">
        <v>25</v>
      </c>
      <c r="B3" s="54"/>
      <c r="C3" s="54"/>
      <c r="D3" s="43"/>
      <c r="E3" s="43"/>
      <c r="F3" s="55"/>
      <c r="G3" s="43"/>
      <c r="H3" s="43"/>
      <c r="I3" s="56"/>
      <c r="J3" s="162"/>
      <c r="Z3" s="183"/>
    </row>
    <row r="4" spans="1:27" x14ac:dyDescent="0.25">
      <c r="A4" s="57" t="s">
        <v>38</v>
      </c>
      <c r="B4" s="58"/>
      <c r="F4" s="59"/>
      <c r="I4" s="60"/>
      <c r="J4" s="162"/>
      <c r="Z4" s="183"/>
    </row>
    <row r="5" spans="1:27" x14ac:dyDescent="0.25">
      <c r="A5" s="61">
        <v>166350</v>
      </c>
      <c r="B5" s="48" t="s">
        <v>39</v>
      </c>
      <c r="E5" s="62">
        <v>11920</v>
      </c>
      <c r="F5" s="63">
        <v>13734</v>
      </c>
      <c r="G5" s="64">
        <f>Hovedresultat!G6*Hovedresultat!G9/1000</f>
        <v>13861.208000000001</v>
      </c>
      <c r="I5" s="65">
        <f>Hovedresultat!I6*Hovedresultat!I9/1000</f>
        <v>15279.6</v>
      </c>
      <c r="J5" s="65"/>
      <c r="K5" s="65">
        <f>Hovedresultat!K6*Hovedresultat!K9/1000</f>
        <v>15312</v>
      </c>
      <c r="L5" s="65" t="e">
        <f>Hovedresultat!L6*Hovedresultat!L9/1000</f>
        <v>#VALUE!</v>
      </c>
      <c r="M5" s="65">
        <f>Hovedresultat!M5*Hovedresultat!M9/1000</f>
        <v>0</v>
      </c>
      <c r="N5" s="65">
        <f>Hovedresultat!N6*Hovedresultat!N9/1000</f>
        <v>0</v>
      </c>
      <c r="O5" s="65">
        <f>Hovedresultat!O6*Hovedresultat!O9/1000</f>
        <v>0</v>
      </c>
      <c r="P5" s="65">
        <f>Hovedresultat!P6*Hovedresultat!P9/1000</f>
        <v>0</v>
      </c>
      <c r="Q5" s="65">
        <f>Hovedresultat!Q6*Hovedresultat!Q9/1000</f>
        <v>0</v>
      </c>
      <c r="R5" s="65">
        <f>Hovedresultat!R6*Hovedresultat!R9/1000</f>
        <v>0</v>
      </c>
      <c r="S5" s="65">
        <f>Hovedresultat!S6*Hovedresultat!S9/1000</f>
        <v>0</v>
      </c>
      <c r="T5" s="65">
        <f>Hovedresultat!T6*Hovedresultat!T9/1000</f>
        <v>0</v>
      </c>
      <c r="U5" s="65">
        <f>Hovedresultat!U6*Hovedresultat!U9/1000</f>
        <v>0</v>
      </c>
      <c r="V5" s="65">
        <f>Hovedresultat!V6*Hovedresultat!V9/1000</f>
        <v>0</v>
      </c>
      <c r="W5" s="65">
        <f>Hovedresultat!W6*Hovedresultat!W9/1000</f>
        <v>0</v>
      </c>
      <c r="X5" s="65">
        <f>Hovedresultat!X6*Hovedresultat!X9/1000</f>
        <v>0</v>
      </c>
      <c r="Y5" s="179">
        <f>Hovedresultat!Y6*Hovedresultat!Y9/1000</f>
        <v>0</v>
      </c>
      <c r="Z5" s="184">
        <v>14848</v>
      </c>
    </row>
    <row r="6" spans="1:27" x14ac:dyDescent="0.25">
      <c r="A6" s="67">
        <v>211999</v>
      </c>
      <c r="B6" s="58" t="s">
        <v>40</v>
      </c>
      <c r="C6" s="58"/>
      <c r="E6" s="68">
        <f>E5</f>
        <v>11920</v>
      </c>
      <c r="F6" s="63">
        <v>13734</v>
      </c>
      <c r="G6" s="69">
        <f>G5</f>
        <v>13861.208000000001</v>
      </c>
      <c r="I6" s="70">
        <f>I5</f>
        <v>15279.6</v>
      </c>
      <c r="J6" s="163"/>
      <c r="Z6" s="186">
        <f>SUM(Z5)</f>
        <v>14848</v>
      </c>
    </row>
    <row r="7" spans="1:27" x14ac:dyDescent="0.25">
      <c r="A7" s="57" t="s">
        <v>41</v>
      </c>
      <c r="B7" s="58"/>
      <c r="C7" s="58"/>
      <c r="E7" s="71"/>
      <c r="F7" s="59"/>
      <c r="G7" s="71"/>
      <c r="I7" s="60"/>
      <c r="J7" s="162"/>
      <c r="Z7" s="185"/>
    </row>
    <row r="8" spans="1:27" x14ac:dyDescent="0.25">
      <c r="A8" s="61">
        <v>280450</v>
      </c>
      <c r="B8" s="48" t="s">
        <v>42</v>
      </c>
      <c r="E8" s="71"/>
      <c r="F8" s="59">
        <v>30</v>
      </c>
      <c r="G8" s="71">
        <v>43</v>
      </c>
      <c r="I8" s="60">
        <v>10</v>
      </c>
      <c r="J8" s="162"/>
      <c r="K8" s="48">
        <f>SUM(I8:I11)</f>
        <v>85</v>
      </c>
      <c r="L8" s="48">
        <v>2.1</v>
      </c>
      <c r="Z8" s="185">
        <v>10</v>
      </c>
    </row>
    <row r="9" spans="1:27" x14ac:dyDescent="0.25">
      <c r="A9" s="61">
        <v>281000</v>
      </c>
      <c r="B9" s="48" t="s">
        <v>43</v>
      </c>
      <c r="E9" s="71">
        <v>38</v>
      </c>
      <c r="F9" s="59">
        <v>0</v>
      </c>
      <c r="G9" s="71">
        <v>0</v>
      </c>
      <c r="I9" s="60">
        <v>0</v>
      </c>
      <c r="J9" s="162"/>
      <c r="Z9" s="185">
        <v>0</v>
      </c>
    </row>
    <row r="10" spans="1:27" x14ac:dyDescent="0.25">
      <c r="A10" s="61">
        <v>290075</v>
      </c>
      <c r="B10" s="48" t="s">
        <v>35</v>
      </c>
      <c r="E10" s="71"/>
      <c r="F10" s="59">
        <v>0</v>
      </c>
      <c r="G10" s="71">
        <v>56</v>
      </c>
      <c r="I10" s="60">
        <v>75</v>
      </c>
      <c r="J10" s="162"/>
      <c r="L10" s="72"/>
      <c r="M10" s="48" t="s">
        <v>44</v>
      </c>
      <c r="Z10" s="185">
        <v>75</v>
      </c>
    </row>
    <row r="11" spans="1:27" x14ac:dyDescent="0.25">
      <c r="A11" s="61">
        <v>290200</v>
      </c>
      <c r="B11" s="48" t="s">
        <v>45</v>
      </c>
      <c r="E11" s="71"/>
      <c r="F11" s="59">
        <v>20</v>
      </c>
      <c r="G11" s="71"/>
      <c r="I11" s="60">
        <v>0</v>
      </c>
      <c r="J11" s="162"/>
      <c r="Z11" s="185">
        <v>0</v>
      </c>
    </row>
    <row r="12" spans="1:27" x14ac:dyDescent="0.25">
      <c r="A12" s="61">
        <v>290900</v>
      </c>
      <c r="B12" s="48" t="s">
        <v>46</v>
      </c>
      <c r="E12" s="73">
        <v>107</v>
      </c>
      <c r="F12" s="59">
        <v>105</v>
      </c>
      <c r="G12" s="73">
        <v>71</v>
      </c>
      <c r="I12" s="107">
        <v>109</v>
      </c>
      <c r="J12" s="164"/>
      <c r="K12" s="48">
        <f>SUM(I12)</f>
        <v>109</v>
      </c>
      <c r="L12" s="48">
        <v>5.0999999999999996</v>
      </c>
      <c r="Z12" s="185">
        <v>110</v>
      </c>
      <c r="AA12" s="134" t="s">
        <v>47</v>
      </c>
    </row>
    <row r="13" spans="1:27" x14ac:dyDescent="0.25">
      <c r="A13" s="67">
        <v>299999</v>
      </c>
      <c r="B13" s="58" t="s">
        <v>48</v>
      </c>
      <c r="C13" s="58"/>
      <c r="D13" s="58"/>
      <c r="E13" s="71">
        <f>SUM(E8:E12)</f>
        <v>145</v>
      </c>
      <c r="F13" s="59">
        <v>155</v>
      </c>
      <c r="G13" s="71">
        <f>SUM(G8:G12)</f>
        <v>170</v>
      </c>
      <c r="I13" s="60">
        <f>SUM(I8:I12)</f>
        <v>194</v>
      </c>
      <c r="J13" s="162"/>
      <c r="Z13" s="185">
        <f>SUM(Z8:Z12)</f>
        <v>195</v>
      </c>
    </row>
    <row r="14" spans="1:27" x14ac:dyDescent="0.25">
      <c r="A14" s="67">
        <v>344998</v>
      </c>
      <c r="B14" s="58" t="s">
        <v>49</v>
      </c>
      <c r="C14" s="58"/>
      <c r="D14" s="58"/>
      <c r="E14" s="68">
        <f>E6+E13</f>
        <v>12065</v>
      </c>
      <c r="F14" s="63">
        <v>13889</v>
      </c>
      <c r="G14" s="69">
        <f>G6+G13</f>
        <v>14031.208000000001</v>
      </c>
      <c r="I14" s="70">
        <f>I6+I13</f>
        <v>15473.6</v>
      </c>
      <c r="K14" s="70">
        <f t="shared" ref="K14:Z14" si="0">K6+K13</f>
        <v>0</v>
      </c>
      <c r="L14" s="70">
        <f t="shared" si="0"/>
        <v>0</v>
      </c>
      <c r="M14" s="70">
        <f t="shared" si="0"/>
        <v>0</v>
      </c>
      <c r="N14" s="70">
        <f t="shared" si="0"/>
        <v>0</v>
      </c>
      <c r="O14" s="70">
        <f t="shared" si="0"/>
        <v>0</v>
      </c>
      <c r="P14" s="70">
        <f t="shared" si="0"/>
        <v>0</v>
      </c>
      <c r="Q14" s="70">
        <f t="shared" si="0"/>
        <v>0</v>
      </c>
      <c r="R14" s="70">
        <f t="shared" si="0"/>
        <v>0</v>
      </c>
      <c r="S14" s="70">
        <f t="shared" si="0"/>
        <v>0</v>
      </c>
      <c r="T14" s="70">
        <f t="shared" si="0"/>
        <v>0</v>
      </c>
      <c r="U14" s="70">
        <f t="shared" si="0"/>
        <v>0</v>
      </c>
      <c r="V14" s="70">
        <f t="shared" si="0"/>
        <v>0</v>
      </c>
      <c r="W14" s="70">
        <f t="shared" si="0"/>
        <v>0</v>
      </c>
      <c r="X14" s="70">
        <f t="shared" si="0"/>
        <v>0</v>
      </c>
      <c r="Y14" s="180">
        <f t="shared" si="0"/>
        <v>0</v>
      </c>
      <c r="Z14" s="187">
        <f t="shared" si="0"/>
        <v>15043</v>
      </c>
    </row>
    <row r="15" spans="1:27" x14ac:dyDescent="0.25">
      <c r="A15" s="74">
        <v>344999</v>
      </c>
      <c r="B15" s="75" t="s">
        <v>50</v>
      </c>
      <c r="C15" s="75"/>
      <c r="D15" s="52"/>
      <c r="E15" s="76">
        <f>-Hovedresultat!E15-Hovedresultat!E16-Hovedresultat!E17+E14</f>
        <v>-6327</v>
      </c>
      <c r="F15" s="76">
        <f>-Hovedresultat!F15-Hovedresultat!F16-Hovedresultat!F17+F14</f>
        <v>-5935</v>
      </c>
      <c r="G15" s="76">
        <f>Hovedresultat!G15+Hovedresultat!G16+Hovedresultat!G17-G14</f>
        <v>6144.7919999999995</v>
      </c>
      <c r="H15" s="52"/>
      <c r="I15" s="77">
        <f>Hovedresultat!I15+Hovedresultat!I16+Hovedresultat!I17-I14</f>
        <v>6321.5500000000011</v>
      </c>
      <c r="K15" s="77">
        <f>-Hovedresultat!K15-Hovedresultat!K16-Hovedresultat!K17+K14</f>
        <v>-22038.675000000003</v>
      </c>
      <c r="L15" s="77">
        <f>-Hovedresultat!L15-Hovedresultat!L16-Hovedresultat!L17+L14</f>
        <v>0</v>
      </c>
      <c r="M15" s="77">
        <f>-Hovedresultat!M15-Hovedresultat!M16-Hovedresultat!M17+M14</f>
        <v>0</v>
      </c>
      <c r="N15" s="77">
        <f>-Hovedresultat!N15-Hovedresultat!N16-Hovedresultat!N17+N14</f>
        <v>0</v>
      </c>
      <c r="O15" s="77">
        <f>-Hovedresultat!O15-Hovedresultat!O16-Hovedresultat!O17+O14</f>
        <v>0</v>
      </c>
      <c r="P15" s="77">
        <f>-Hovedresultat!P15-Hovedresultat!P16-Hovedresultat!P17+P14</f>
        <v>0</v>
      </c>
      <c r="Q15" s="77">
        <f>-Hovedresultat!Q15-Hovedresultat!Q16-Hovedresultat!Q17+Q14</f>
        <v>0</v>
      </c>
      <c r="R15" s="77">
        <f>-Hovedresultat!R15-Hovedresultat!R16-Hovedresultat!R17+R14</f>
        <v>0</v>
      </c>
      <c r="S15" s="77">
        <f>-Hovedresultat!S15-Hovedresultat!S16-Hovedresultat!S17+S14</f>
        <v>0</v>
      </c>
      <c r="T15" s="77">
        <f>-Hovedresultat!T15-Hovedresultat!T16-Hovedresultat!T17+T14</f>
        <v>0</v>
      </c>
      <c r="U15" s="77">
        <f>-Hovedresultat!U15-Hovedresultat!U16-Hovedresultat!U17+U14</f>
        <v>0</v>
      </c>
      <c r="V15" s="77">
        <f>-Hovedresultat!V15-Hovedresultat!V16-Hovedresultat!V17+V14</f>
        <v>0</v>
      </c>
      <c r="W15" s="77">
        <f>-Hovedresultat!W15-Hovedresultat!W16-Hovedresultat!W17+W14</f>
        <v>0</v>
      </c>
      <c r="X15" s="77">
        <f>-Hovedresultat!X15-Hovedresultat!X16-Hovedresultat!X17+X14</f>
        <v>0</v>
      </c>
      <c r="Y15" s="181">
        <f>-Hovedresultat!Y15-Hovedresultat!Y16-Hovedresultat!Y17+Y14</f>
        <v>0</v>
      </c>
      <c r="Z15" s="189">
        <f>Hovedresultat!K15+Hovedresultat!K16+Hovedresultat!K17-Z14</f>
        <v>6995.6750000000029</v>
      </c>
    </row>
    <row r="16" spans="1:27" ht="18.75" x14ac:dyDescent="0.3">
      <c r="F16" s="59"/>
      <c r="M16" s="106">
        <f>I12+I26+I34</f>
        <v>1908</v>
      </c>
      <c r="N16" s="106"/>
      <c r="O16" s="48" t="s">
        <v>51</v>
      </c>
      <c r="Z16" s="185"/>
    </row>
    <row r="17" spans="1:27" x14ac:dyDescent="0.25">
      <c r="A17" s="42" t="s">
        <v>26</v>
      </c>
      <c r="B17" s="54"/>
      <c r="C17" s="54"/>
      <c r="D17" s="43"/>
      <c r="E17" s="43"/>
      <c r="F17" s="55"/>
      <c r="G17" s="43"/>
      <c r="H17" s="43"/>
      <c r="I17" s="56"/>
      <c r="J17" s="162"/>
      <c r="Z17" s="185"/>
    </row>
    <row r="18" spans="1:27" x14ac:dyDescent="0.25">
      <c r="A18" s="57" t="s">
        <v>52</v>
      </c>
      <c r="B18" s="58"/>
      <c r="F18" s="59"/>
      <c r="I18" s="60"/>
      <c r="J18" s="162"/>
      <c r="Z18" s="185"/>
    </row>
    <row r="19" spans="1:27" x14ac:dyDescent="0.25">
      <c r="A19" s="57" t="s">
        <v>53</v>
      </c>
      <c r="B19" s="58"/>
      <c r="F19" s="59"/>
      <c r="I19" s="60"/>
      <c r="J19" s="162"/>
      <c r="Z19" s="185"/>
    </row>
    <row r="20" spans="1:27" x14ac:dyDescent="0.25">
      <c r="A20" s="61">
        <v>347080</v>
      </c>
      <c r="B20" s="48" t="s">
        <v>54</v>
      </c>
      <c r="E20" s="71">
        <v>801</v>
      </c>
      <c r="F20" s="59">
        <v>560</v>
      </c>
      <c r="G20" s="78">
        <v>15</v>
      </c>
      <c r="I20" s="60">
        <v>600</v>
      </c>
      <c r="J20" s="162"/>
      <c r="K20" s="48">
        <f>SUM(I20:I25,I29:I33,I42:I44,I46,I55:I56,I58:I59,I63,I68)</f>
        <v>965</v>
      </c>
      <c r="L20" s="48">
        <v>2.2000000000000002</v>
      </c>
      <c r="M20" s="108" t="s">
        <v>55</v>
      </c>
      <c r="N20" s="108"/>
      <c r="O20" s="48" t="s">
        <v>56</v>
      </c>
      <c r="Z20" s="185">
        <v>600</v>
      </c>
    </row>
    <row r="21" spans="1:27" x14ac:dyDescent="0.25">
      <c r="A21" s="61">
        <v>347160</v>
      </c>
      <c r="B21" s="48" t="s">
        <v>57</v>
      </c>
      <c r="E21" s="71"/>
      <c r="F21" s="59"/>
      <c r="G21" s="71"/>
      <c r="I21" s="60">
        <v>10</v>
      </c>
      <c r="J21" s="162"/>
      <c r="Z21" s="185">
        <v>10</v>
      </c>
    </row>
    <row r="22" spans="1:27" x14ac:dyDescent="0.25">
      <c r="A22" s="61">
        <v>347240</v>
      </c>
      <c r="B22" s="48" t="s">
        <v>58</v>
      </c>
      <c r="E22" s="71">
        <v>26</v>
      </c>
      <c r="F22" s="59"/>
      <c r="G22" s="71">
        <v>22</v>
      </c>
      <c r="I22" s="60">
        <v>25</v>
      </c>
      <c r="J22" s="162"/>
      <c r="M22" s="48" t="s">
        <v>55</v>
      </c>
      <c r="Z22" s="185">
        <v>25</v>
      </c>
    </row>
    <row r="23" spans="1:27" x14ac:dyDescent="0.25">
      <c r="A23" s="61">
        <v>347320</v>
      </c>
      <c r="B23" s="48" t="s">
        <v>59</v>
      </c>
      <c r="E23" s="71"/>
      <c r="F23" s="59"/>
      <c r="G23" s="71">
        <v>50</v>
      </c>
      <c r="I23" s="60">
        <v>10</v>
      </c>
      <c r="J23" s="162"/>
      <c r="L23" s="79"/>
      <c r="Z23" s="185">
        <v>10</v>
      </c>
    </row>
    <row r="24" spans="1:27" x14ac:dyDescent="0.25">
      <c r="A24" s="61">
        <v>347480</v>
      </c>
      <c r="B24" s="48" t="s">
        <v>60</v>
      </c>
      <c r="E24" s="71"/>
      <c r="F24" s="59"/>
      <c r="G24" s="78">
        <v>18</v>
      </c>
      <c r="I24" s="60">
        <v>0</v>
      </c>
      <c r="J24" s="162"/>
      <c r="Z24" s="185">
        <v>0</v>
      </c>
    </row>
    <row r="25" spans="1:27" x14ac:dyDescent="0.25">
      <c r="A25" s="61">
        <v>347560</v>
      </c>
      <c r="B25" s="48" t="s">
        <v>61</v>
      </c>
      <c r="E25" s="71"/>
      <c r="F25" s="59"/>
      <c r="G25" s="71">
        <v>0</v>
      </c>
      <c r="I25" s="60">
        <v>0</v>
      </c>
      <c r="J25" s="162"/>
      <c r="Z25" s="185">
        <v>0</v>
      </c>
    </row>
    <row r="26" spans="1:27" x14ac:dyDescent="0.25">
      <c r="A26" s="61">
        <v>347900</v>
      </c>
      <c r="B26" s="48" t="s">
        <v>62</v>
      </c>
      <c r="E26" s="62">
        <v>1845</v>
      </c>
      <c r="F26" s="63">
        <v>2283</v>
      </c>
      <c r="G26" s="168">
        <v>1621</v>
      </c>
      <c r="I26" s="80">
        <v>1399</v>
      </c>
      <c r="J26" s="165"/>
      <c r="K26" s="66">
        <f>SUM(I26,I34,I45,I64)</f>
        <v>1925</v>
      </c>
      <c r="L26" s="48">
        <v>5.2</v>
      </c>
      <c r="M26" s="48" t="s">
        <v>55</v>
      </c>
      <c r="Z26" s="185">
        <v>1400</v>
      </c>
      <c r="AA26" s="134" t="s">
        <v>47</v>
      </c>
    </row>
    <row r="27" spans="1:27" x14ac:dyDescent="0.25">
      <c r="A27" s="67">
        <v>347999</v>
      </c>
      <c r="B27" s="58" t="s">
        <v>63</v>
      </c>
      <c r="C27" s="58"/>
      <c r="D27" s="58"/>
      <c r="E27" s="81">
        <f>SUM(E20:E26)</f>
        <v>2672</v>
      </c>
      <c r="F27" s="81">
        <f>SUM(F20:F26)</f>
        <v>2843</v>
      </c>
      <c r="G27" s="69">
        <f>SUM(G20:G26)</f>
        <v>1726</v>
      </c>
      <c r="I27" s="82">
        <f>SUM(I20:I26)</f>
        <v>2044</v>
      </c>
      <c r="J27" s="166"/>
      <c r="Z27" s="188">
        <f>SUM(Z20:Z26)</f>
        <v>2045</v>
      </c>
    </row>
    <row r="28" spans="1:27" x14ac:dyDescent="0.25">
      <c r="A28" s="57" t="s">
        <v>64</v>
      </c>
      <c r="B28" s="58"/>
      <c r="E28" s="71"/>
      <c r="F28" s="59"/>
      <c r="I28" s="60"/>
      <c r="J28" s="162"/>
      <c r="Z28" s="185"/>
    </row>
    <row r="29" spans="1:27" x14ac:dyDescent="0.25">
      <c r="A29" s="61">
        <v>356080</v>
      </c>
      <c r="B29" s="48" t="s">
        <v>65</v>
      </c>
      <c r="E29" s="71"/>
      <c r="F29" s="59"/>
      <c r="G29" s="71">
        <v>0</v>
      </c>
      <c r="I29" s="60">
        <v>0</v>
      </c>
      <c r="J29" s="162"/>
      <c r="M29" s="48" t="s">
        <v>55</v>
      </c>
      <c r="Z29" s="185">
        <v>0</v>
      </c>
    </row>
    <row r="30" spans="1:27" x14ac:dyDescent="0.25">
      <c r="A30" s="61">
        <v>356100</v>
      </c>
      <c r="B30" s="48" t="s">
        <v>66</v>
      </c>
      <c r="E30" s="71"/>
      <c r="F30" s="59"/>
      <c r="G30" s="71"/>
      <c r="I30" s="60"/>
      <c r="J30" s="162"/>
      <c r="Z30" s="185">
        <v>0</v>
      </c>
    </row>
    <row r="31" spans="1:27" x14ac:dyDescent="0.25">
      <c r="A31" s="61">
        <v>356160</v>
      </c>
      <c r="B31" s="48" t="s">
        <v>67</v>
      </c>
      <c r="E31" s="71"/>
      <c r="F31" s="59"/>
      <c r="G31" s="71"/>
      <c r="I31" s="60"/>
      <c r="J31" s="162"/>
      <c r="L31" s="79"/>
      <c r="Z31" s="185">
        <v>0</v>
      </c>
    </row>
    <row r="32" spans="1:27" x14ac:dyDescent="0.25">
      <c r="A32" s="61">
        <v>356240</v>
      </c>
      <c r="B32" s="48" t="s">
        <v>68</v>
      </c>
      <c r="E32" s="71"/>
      <c r="F32" s="59"/>
      <c r="G32" s="71">
        <v>0</v>
      </c>
      <c r="I32" s="60">
        <v>0</v>
      </c>
      <c r="J32" s="162"/>
      <c r="M32" s="48" t="s">
        <v>55</v>
      </c>
      <c r="Z32" s="185">
        <v>75</v>
      </c>
    </row>
    <row r="33" spans="1:27" x14ac:dyDescent="0.25">
      <c r="A33" s="61">
        <v>356560</v>
      </c>
      <c r="B33" s="48" t="s">
        <v>69</v>
      </c>
      <c r="E33" s="71"/>
      <c r="F33" s="59"/>
      <c r="G33" s="71">
        <v>0</v>
      </c>
      <c r="I33" s="60"/>
      <c r="J33" s="162"/>
      <c r="M33" s="48" t="s">
        <v>55</v>
      </c>
      <c r="Z33" s="185">
        <v>0</v>
      </c>
    </row>
    <row r="34" spans="1:27" x14ac:dyDescent="0.25">
      <c r="A34" s="61">
        <v>356900</v>
      </c>
      <c r="B34" s="48" t="s">
        <v>70</v>
      </c>
      <c r="E34" s="71"/>
      <c r="F34" s="59"/>
      <c r="G34" s="71">
        <v>454</v>
      </c>
      <c r="I34" s="60">
        <v>400</v>
      </c>
      <c r="J34" s="162"/>
      <c r="Z34" s="185">
        <v>400</v>
      </c>
      <c r="AA34" s="134" t="s">
        <v>47</v>
      </c>
    </row>
    <row r="35" spans="1:27" x14ac:dyDescent="0.25">
      <c r="A35" s="67">
        <v>356999</v>
      </c>
      <c r="B35" s="58" t="s">
        <v>71</v>
      </c>
      <c r="C35" s="58"/>
      <c r="E35" s="84">
        <f>SUM(E29:E34)</f>
        <v>0</v>
      </c>
      <c r="F35" s="85"/>
      <c r="G35" s="84">
        <f>SUM(G29:G34)</f>
        <v>454</v>
      </c>
      <c r="I35" s="82">
        <f>SUM(I29:I34)</f>
        <v>400</v>
      </c>
      <c r="J35" s="166"/>
      <c r="Z35" s="188">
        <f>SUM(Z29:Z34)</f>
        <v>475</v>
      </c>
    </row>
    <row r="36" spans="1:27" x14ac:dyDescent="0.25">
      <c r="A36" s="67"/>
      <c r="B36" s="58"/>
      <c r="C36" s="58"/>
      <c r="E36" s="71"/>
      <c r="F36" s="59"/>
      <c r="G36" s="71"/>
      <c r="I36" s="60"/>
      <c r="J36" s="162"/>
      <c r="Z36" s="185"/>
    </row>
    <row r="37" spans="1:27" x14ac:dyDescent="0.25">
      <c r="A37" s="67">
        <v>358100</v>
      </c>
      <c r="B37" s="58" t="s">
        <v>72</v>
      </c>
      <c r="C37" s="58"/>
      <c r="E37" s="84">
        <v>166</v>
      </c>
      <c r="F37" s="59">
        <v>155</v>
      </c>
      <c r="G37" s="84">
        <v>72</v>
      </c>
      <c r="I37" s="86">
        <v>70</v>
      </c>
      <c r="J37" s="167"/>
      <c r="K37" s="48">
        <f>SUM(I37,I52)</f>
        <v>270</v>
      </c>
      <c r="L37" s="48">
        <v>1.4</v>
      </c>
      <c r="Z37" s="188">
        <v>100</v>
      </c>
    </row>
    <row r="38" spans="1:27" x14ac:dyDescent="0.25">
      <c r="A38" s="67"/>
      <c r="B38" s="58"/>
      <c r="C38" s="58"/>
      <c r="F38" s="59"/>
      <c r="G38" s="71"/>
      <c r="I38" s="60"/>
      <c r="J38" s="162"/>
      <c r="Z38" s="185"/>
    </row>
    <row r="39" spans="1:27" x14ac:dyDescent="0.25">
      <c r="A39" s="67">
        <v>364999</v>
      </c>
      <c r="B39" s="58" t="s">
        <v>73</v>
      </c>
      <c r="C39" s="58"/>
      <c r="E39" s="87">
        <f>E27+E35+E37</f>
        <v>2838</v>
      </c>
      <c r="F39" s="87">
        <f>F27+F35+F37</f>
        <v>2998</v>
      </c>
      <c r="G39" s="69">
        <f>G27+G35+G37</f>
        <v>2252</v>
      </c>
      <c r="I39" s="87">
        <f>I27+I35+I37</f>
        <v>2514</v>
      </c>
      <c r="J39" s="162"/>
      <c r="K39" s="87">
        <f t="shared" ref="K39:Z39" si="1">K27+K35+K37</f>
        <v>270</v>
      </c>
      <c r="L39" s="87">
        <f t="shared" si="1"/>
        <v>1.4</v>
      </c>
      <c r="M39" s="87">
        <f t="shared" si="1"/>
        <v>0</v>
      </c>
      <c r="N39" s="87">
        <f t="shared" si="1"/>
        <v>0</v>
      </c>
      <c r="O39" s="87">
        <f t="shared" si="1"/>
        <v>0</v>
      </c>
      <c r="P39" s="87">
        <f t="shared" si="1"/>
        <v>0</v>
      </c>
      <c r="Q39" s="87">
        <f t="shared" si="1"/>
        <v>0</v>
      </c>
      <c r="R39" s="87">
        <f t="shared" si="1"/>
        <v>0</v>
      </c>
      <c r="S39" s="87">
        <f t="shared" si="1"/>
        <v>0</v>
      </c>
      <c r="T39" s="87">
        <f t="shared" si="1"/>
        <v>0</v>
      </c>
      <c r="U39" s="87">
        <f t="shared" si="1"/>
        <v>0</v>
      </c>
      <c r="V39" s="87">
        <f t="shared" si="1"/>
        <v>0</v>
      </c>
      <c r="W39" s="87">
        <f t="shared" si="1"/>
        <v>0</v>
      </c>
      <c r="X39" s="87">
        <f t="shared" si="1"/>
        <v>0</v>
      </c>
      <c r="Y39" s="182">
        <f t="shared" si="1"/>
        <v>0</v>
      </c>
      <c r="Z39" s="187">
        <f t="shared" si="1"/>
        <v>2620</v>
      </c>
    </row>
    <row r="40" spans="1:27" x14ac:dyDescent="0.25">
      <c r="A40" s="49"/>
      <c r="F40" s="59"/>
      <c r="I40" s="60"/>
      <c r="J40" s="162"/>
      <c r="Z40" s="185"/>
    </row>
    <row r="41" spans="1:27" x14ac:dyDescent="0.25">
      <c r="A41" s="57" t="s">
        <v>74</v>
      </c>
      <c r="B41" s="58"/>
      <c r="F41" s="59"/>
      <c r="I41" s="60"/>
      <c r="J41" s="162"/>
      <c r="Z41" s="185"/>
    </row>
    <row r="42" spans="1:27" x14ac:dyDescent="0.25">
      <c r="A42" s="61">
        <v>374100</v>
      </c>
      <c r="B42" s="48" t="s">
        <v>75</v>
      </c>
      <c r="E42" s="71">
        <v>65</v>
      </c>
      <c r="F42" s="59">
        <v>80</v>
      </c>
      <c r="G42" s="71">
        <v>0</v>
      </c>
      <c r="I42" s="60">
        <v>0</v>
      </c>
      <c r="J42" s="162"/>
      <c r="Z42" s="185">
        <v>0</v>
      </c>
    </row>
    <row r="43" spans="1:27" x14ac:dyDescent="0.25">
      <c r="A43" s="61">
        <v>374200</v>
      </c>
      <c r="B43" s="48" t="s">
        <v>76</v>
      </c>
      <c r="E43" s="71"/>
      <c r="F43" s="59"/>
      <c r="G43" s="71">
        <v>0</v>
      </c>
      <c r="I43" s="60">
        <v>0</v>
      </c>
      <c r="J43" s="162"/>
      <c r="L43" s="79"/>
      <c r="Z43" s="185">
        <v>0</v>
      </c>
    </row>
    <row r="44" spans="1:27" x14ac:dyDescent="0.25">
      <c r="A44" s="61">
        <v>374400</v>
      </c>
      <c r="B44" s="48" t="s">
        <v>77</v>
      </c>
      <c r="E44" s="71"/>
      <c r="F44" s="59"/>
      <c r="G44" s="71">
        <v>45</v>
      </c>
      <c r="I44" s="60">
        <v>50</v>
      </c>
      <c r="J44" s="162"/>
      <c r="Z44" s="185">
        <v>50</v>
      </c>
    </row>
    <row r="45" spans="1:27" x14ac:dyDescent="0.25">
      <c r="A45" s="61">
        <v>374900</v>
      </c>
      <c r="B45" s="48" t="s">
        <v>78</v>
      </c>
      <c r="E45" s="71"/>
      <c r="F45" s="59"/>
      <c r="G45" s="71">
        <v>291</v>
      </c>
      <c r="I45" s="60">
        <v>120</v>
      </c>
      <c r="J45" s="162"/>
      <c r="M45" s="48" t="s">
        <v>79</v>
      </c>
      <c r="Z45" s="185">
        <v>120</v>
      </c>
      <c r="AA45" s="134" t="s">
        <v>47</v>
      </c>
    </row>
    <row r="46" spans="1:27" x14ac:dyDescent="0.25">
      <c r="A46" s="61">
        <v>375100</v>
      </c>
      <c r="B46" s="48" t="s">
        <v>80</v>
      </c>
      <c r="E46" s="71"/>
      <c r="F46" s="59"/>
      <c r="G46" s="71">
        <v>0</v>
      </c>
      <c r="I46" s="60">
        <v>0</v>
      </c>
      <c r="J46" s="162"/>
      <c r="Z46" s="185">
        <v>0</v>
      </c>
    </row>
    <row r="47" spans="1:27" x14ac:dyDescent="0.25">
      <c r="A47" s="67">
        <v>376999</v>
      </c>
      <c r="B47" s="58" t="s">
        <v>81</v>
      </c>
      <c r="C47" s="58"/>
      <c r="E47" s="86">
        <f>SUM(E42:E46)</f>
        <v>65</v>
      </c>
      <c r="F47" s="86">
        <f>SUM(F42:F46)</f>
        <v>80</v>
      </c>
      <c r="G47" s="84">
        <f>SUM(G42:G46)</f>
        <v>336</v>
      </c>
      <c r="I47" s="86">
        <f>SUM(I42:I46)</f>
        <v>170</v>
      </c>
      <c r="J47" s="167"/>
      <c r="Z47" s="188">
        <f>SUM(Z42:Z46)</f>
        <v>170</v>
      </c>
    </row>
    <row r="48" spans="1:27" x14ac:dyDescent="0.25">
      <c r="A48" s="49"/>
      <c r="F48" s="59"/>
      <c r="I48" s="60"/>
      <c r="J48" s="162"/>
      <c r="Z48" s="185"/>
    </row>
    <row r="49" spans="1:27" x14ac:dyDescent="0.25">
      <c r="A49" s="57" t="s">
        <v>82</v>
      </c>
      <c r="F49" s="59"/>
      <c r="I49" s="60"/>
      <c r="J49" s="162"/>
      <c r="Z49" s="185"/>
    </row>
    <row r="50" spans="1:27" x14ac:dyDescent="0.25">
      <c r="A50" s="61">
        <v>383200</v>
      </c>
      <c r="B50" s="48" t="s">
        <v>83</v>
      </c>
      <c r="E50" s="71">
        <v>212</v>
      </c>
      <c r="F50" s="59">
        <v>200</v>
      </c>
      <c r="G50" s="71">
        <v>249</v>
      </c>
      <c r="I50" s="60">
        <v>300</v>
      </c>
      <c r="J50" s="162"/>
      <c r="Z50" s="185">
        <v>300</v>
      </c>
    </row>
    <row r="51" spans="1:27" x14ac:dyDescent="0.25">
      <c r="A51" s="61">
        <v>383400</v>
      </c>
      <c r="B51" s="48" t="s">
        <v>84</v>
      </c>
      <c r="E51" s="71"/>
      <c r="F51" s="59"/>
      <c r="G51" s="71">
        <v>-101</v>
      </c>
      <c r="I51" s="60">
        <v>-100</v>
      </c>
      <c r="J51" s="162"/>
      <c r="Z51" s="185">
        <v>-100</v>
      </c>
    </row>
    <row r="52" spans="1:27" x14ac:dyDescent="0.25">
      <c r="A52" s="67">
        <v>383999</v>
      </c>
      <c r="B52" s="58" t="s">
        <v>85</v>
      </c>
      <c r="E52" s="86">
        <f>E50-E51</f>
        <v>212</v>
      </c>
      <c r="F52" s="86">
        <f>F50-F51</f>
        <v>200</v>
      </c>
      <c r="G52" s="84">
        <f>G50+G51</f>
        <v>148</v>
      </c>
      <c r="I52" s="86">
        <f>I50+I51</f>
        <v>200</v>
      </c>
      <c r="J52" s="167"/>
      <c r="L52" s="79"/>
      <c r="Z52" s="188">
        <f>Z50+Z51</f>
        <v>200</v>
      </c>
    </row>
    <row r="53" spans="1:27" x14ac:dyDescent="0.25">
      <c r="A53" s="49"/>
      <c r="F53" s="59"/>
      <c r="I53" s="60"/>
      <c r="J53" s="162"/>
      <c r="Z53" s="185"/>
    </row>
    <row r="54" spans="1:27" x14ac:dyDescent="0.25">
      <c r="A54" s="57" t="s">
        <v>86</v>
      </c>
      <c r="B54" s="58"/>
      <c r="F54" s="59"/>
      <c r="I54" s="60"/>
      <c r="J54" s="162"/>
      <c r="Z54" s="185"/>
    </row>
    <row r="55" spans="1:27" x14ac:dyDescent="0.25">
      <c r="A55" s="61">
        <v>392130</v>
      </c>
      <c r="B55" s="48" t="s">
        <v>87</v>
      </c>
      <c r="E55" s="71">
        <v>4</v>
      </c>
      <c r="F55" s="59">
        <v>10</v>
      </c>
      <c r="G55" s="71">
        <v>0</v>
      </c>
      <c r="I55" s="60">
        <v>50</v>
      </c>
      <c r="J55" s="162"/>
      <c r="M55" s="48" t="s">
        <v>55</v>
      </c>
      <c r="Z55" s="185">
        <v>50</v>
      </c>
    </row>
    <row r="56" spans="1:27" x14ac:dyDescent="0.25">
      <c r="A56" s="61">
        <v>392140</v>
      </c>
      <c r="B56" s="48" t="s">
        <v>88</v>
      </c>
      <c r="E56" s="71">
        <v>322</v>
      </c>
      <c r="F56" s="59"/>
      <c r="G56" s="71">
        <v>106</v>
      </c>
      <c r="I56" s="60">
        <v>100</v>
      </c>
      <c r="J56" s="162"/>
      <c r="M56" s="48" t="s">
        <v>55</v>
      </c>
      <c r="Z56" s="185">
        <v>100</v>
      </c>
    </row>
    <row r="57" spans="1:27" x14ac:dyDescent="0.25">
      <c r="A57" s="61">
        <v>392150</v>
      </c>
      <c r="B57" s="48" t="s">
        <v>89</v>
      </c>
      <c r="E57" s="62">
        <v>894</v>
      </c>
      <c r="F57" s="85">
        <v>1380</v>
      </c>
      <c r="G57" s="71">
        <v>869</v>
      </c>
      <c r="I57" s="169">
        <v>1150</v>
      </c>
      <c r="J57" s="170"/>
      <c r="K57" s="83">
        <f>I57</f>
        <v>1150</v>
      </c>
      <c r="L57" s="48">
        <v>3.2</v>
      </c>
      <c r="M57" s="48" t="s">
        <v>55</v>
      </c>
      <c r="Z57" s="185">
        <v>1150</v>
      </c>
      <c r="AA57" s="48" t="s">
        <v>90</v>
      </c>
    </row>
    <row r="58" spans="1:27" x14ac:dyDescent="0.25">
      <c r="A58" s="61">
        <v>392300</v>
      </c>
      <c r="B58" s="48" t="s">
        <v>91</v>
      </c>
      <c r="E58" s="71">
        <v>27</v>
      </c>
      <c r="F58" s="59">
        <v>30</v>
      </c>
      <c r="G58" s="71">
        <v>32</v>
      </c>
      <c r="I58" s="60">
        <v>30</v>
      </c>
      <c r="J58" s="162"/>
      <c r="Z58" s="185">
        <v>30</v>
      </c>
    </row>
    <row r="59" spans="1:27" x14ac:dyDescent="0.25">
      <c r="A59" s="61">
        <v>392450</v>
      </c>
      <c r="B59" s="48" t="s">
        <v>92</v>
      </c>
      <c r="E59" s="71">
        <v>92</v>
      </c>
      <c r="F59" s="59">
        <v>125</v>
      </c>
      <c r="G59" s="71">
        <v>71</v>
      </c>
      <c r="I59" s="109">
        <v>80</v>
      </c>
      <c r="J59" s="164"/>
      <c r="Z59" s="185">
        <v>80</v>
      </c>
    </row>
    <row r="60" spans="1:27" x14ac:dyDescent="0.25">
      <c r="A60" s="67">
        <v>392999</v>
      </c>
      <c r="B60" s="58" t="s">
        <v>93</v>
      </c>
      <c r="C60" s="58"/>
      <c r="E60" s="81">
        <f>SUM(E55:E59)</f>
        <v>1339</v>
      </c>
      <c r="F60" s="81">
        <f>SUM(F55:F59)</f>
        <v>1545</v>
      </c>
      <c r="G60" s="81">
        <f>SUM(G55:G59)</f>
        <v>1078</v>
      </c>
      <c r="I60" s="82">
        <f>SUM(I55:I59)</f>
        <v>1410</v>
      </c>
      <c r="J60" s="166"/>
      <c r="Z60" s="188">
        <f>SUM(Z55:Z59)</f>
        <v>1410</v>
      </c>
    </row>
    <row r="61" spans="1:27" x14ac:dyDescent="0.25">
      <c r="A61" s="49"/>
      <c r="F61" s="59"/>
      <c r="I61" s="60"/>
      <c r="J61" s="162"/>
      <c r="Z61" s="185"/>
    </row>
    <row r="62" spans="1:27" x14ac:dyDescent="0.25">
      <c r="A62" s="57" t="s">
        <v>94</v>
      </c>
      <c r="B62" s="58"/>
      <c r="F62" s="59"/>
      <c r="I62" s="60"/>
      <c r="J62" s="162"/>
      <c r="Z62" s="185"/>
    </row>
    <row r="63" spans="1:27" x14ac:dyDescent="0.25">
      <c r="A63" s="61">
        <v>393600</v>
      </c>
      <c r="B63" s="48" t="s">
        <v>95</v>
      </c>
      <c r="E63" s="71">
        <v>12</v>
      </c>
      <c r="F63" s="59">
        <v>15</v>
      </c>
      <c r="G63" s="71">
        <v>0</v>
      </c>
      <c r="I63" s="60">
        <v>10</v>
      </c>
      <c r="J63" s="162"/>
      <c r="L63" s="79"/>
      <c r="Z63" s="185">
        <v>15</v>
      </c>
    </row>
    <row r="64" spans="1:27" x14ac:dyDescent="0.25">
      <c r="A64" s="61">
        <v>393900</v>
      </c>
      <c r="B64" s="48" t="s">
        <v>96</v>
      </c>
      <c r="E64" s="71">
        <v>10</v>
      </c>
      <c r="F64" s="59">
        <v>10</v>
      </c>
      <c r="G64" s="71">
        <v>0</v>
      </c>
      <c r="I64" s="60">
        <v>6</v>
      </c>
      <c r="J64" s="162"/>
      <c r="Z64" s="185">
        <v>1</v>
      </c>
    </row>
    <row r="65" spans="1:26" x14ac:dyDescent="0.25">
      <c r="A65" s="67">
        <v>393999</v>
      </c>
      <c r="B65" s="58" t="s">
        <v>97</v>
      </c>
      <c r="C65" s="58"/>
      <c r="E65" s="84">
        <f>E63+E64</f>
        <v>22</v>
      </c>
      <c r="F65" s="84">
        <f>F63+F64</f>
        <v>25</v>
      </c>
      <c r="G65" s="84">
        <f>G63+G64</f>
        <v>0</v>
      </c>
      <c r="I65" s="86">
        <f>I63+I64</f>
        <v>16</v>
      </c>
      <c r="J65" s="167"/>
      <c r="Z65" s="188">
        <f>SUM(Z63:Z64)</f>
        <v>16</v>
      </c>
    </row>
    <row r="66" spans="1:26" x14ac:dyDescent="0.25">
      <c r="A66" s="49"/>
      <c r="F66" s="59"/>
      <c r="I66" s="60"/>
      <c r="J66" s="162"/>
      <c r="Z66" s="185"/>
    </row>
    <row r="67" spans="1:26" x14ac:dyDescent="0.25">
      <c r="A67" s="57" t="s">
        <v>98</v>
      </c>
      <c r="B67" s="58"/>
      <c r="F67" s="59"/>
      <c r="I67" s="60"/>
      <c r="J67" s="162"/>
      <c r="Z67" s="185"/>
    </row>
    <row r="68" spans="1:26" x14ac:dyDescent="0.25">
      <c r="A68" s="61">
        <v>394600</v>
      </c>
      <c r="B68" s="48" t="s">
        <v>98</v>
      </c>
      <c r="E68" s="71">
        <v>0</v>
      </c>
      <c r="F68" s="59">
        <v>10</v>
      </c>
      <c r="G68" s="71">
        <v>8</v>
      </c>
      <c r="I68" s="60">
        <v>0</v>
      </c>
      <c r="J68" s="162"/>
      <c r="L68" s="79"/>
      <c r="Z68" s="185">
        <v>10</v>
      </c>
    </row>
    <row r="69" spans="1:26" x14ac:dyDescent="0.25">
      <c r="A69" s="67">
        <v>394999</v>
      </c>
      <c r="B69" s="58" t="s">
        <v>99</v>
      </c>
      <c r="C69" s="58"/>
      <c r="D69" s="58"/>
      <c r="E69" s="84">
        <v>0</v>
      </c>
      <c r="F69" s="84">
        <f>0+F68</f>
        <v>10</v>
      </c>
      <c r="G69" s="84">
        <f>G68</f>
        <v>8</v>
      </c>
      <c r="I69" s="86">
        <v>0</v>
      </c>
      <c r="J69" s="167"/>
      <c r="Z69" s="188">
        <f>SUM(Z68)</f>
        <v>10</v>
      </c>
    </row>
    <row r="70" spans="1:26" x14ac:dyDescent="0.25">
      <c r="A70" s="49"/>
      <c r="F70" s="59"/>
      <c r="I70" s="60"/>
      <c r="J70" s="162"/>
      <c r="Z70" s="185"/>
    </row>
    <row r="71" spans="1:26" x14ac:dyDescent="0.25">
      <c r="A71" s="74">
        <v>411999</v>
      </c>
      <c r="B71" s="75" t="s">
        <v>100</v>
      </c>
      <c r="C71" s="75"/>
      <c r="D71" s="75"/>
      <c r="E71" s="87">
        <f>E39+E47+E52+E60+E65+E69</f>
        <v>4476</v>
      </c>
      <c r="F71" s="87">
        <f>F39+F47+F52+F60+F65+F69</f>
        <v>4858</v>
      </c>
      <c r="G71" s="69">
        <f>G39+G47+G52+G60+G65+G69</f>
        <v>3822</v>
      </c>
      <c r="H71" s="52"/>
      <c r="I71" s="87">
        <f>I39+I47+I52+I60+I65+I69</f>
        <v>4310</v>
      </c>
      <c r="J71" s="162"/>
      <c r="K71" s="87">
        <f t="shared" ref="K71:Z71" si="2">K39+K47+K52+K60+K65+K69</f>
        <v>270</v>
      </c>
      <c r="L71" s="87">
        <f t="shared" si="2"/>
        <v>1.4</v>
      </c>
      <c r="M71" s="87">
        <f t="shared" si="2"/>
        <v>0</v>
      </c>
      <c r="N71" s="87">
        <f t="shared" si="2"/>
        <v>0</v>
      </c>
      <c r="O71" s="87">
        <f t="shared" si="2"/>
        <v>0</v>
      </c>
      <c r="P71" s="87">
        <f t="shared" si="2"/>
        <v>0</v>
      </c>
      <c r="Q71" s="87">
        <f t="shared" si="2"/>
        <v>0</v>
      </c>
      <c r="R71" s="87">
        <f t="shared" si="2"/>
        <v>0</v>
      </c>
      <c r="S71" s="87">
        <f t="shared" si="2"/>
        <v>0</v>
      </c>
      <c r="T71" s="87">
        <f t="shared" si="2"/>
        <v>0</v>
      </c>
      <c r="U71" s="87">
        <f t="shared" si="2"/>
        <v>0</v>
      </c>
      <c r="V71" s="87">
        <f t="shared" si="2"/>
        <v>0</v>
      </c>
      <c r="W71" s="87">
        <f t="shared" si="2"/>
        <v>0</v>
      </c>
      <c r="X71" s="87">
        <f t="shared" si="2"/>
        <v>0</v>
      </c>
      <c r="Y71" s="182">
        <f t="shared" si="2"/>
        <v>0</v>
      </c>
      <c r="Z71" s="187">
        <f t="shared" si="2"/>
        <v>4426</v>
      </c>
    </row>
    <row r="72" spans="1:26" x14ac:dyDescent="0.25">
      <c r="L72" s="79"/>
    </row>
  </sheetData>
  <mergeCells count="1">
    <mergeCell ref="K1:L1"/>
  </mergeCells>
  <pageMargins left="0.25" right="0.25" top="1.1437007874015752" bottom="1.1437007874015752" header="0.75000000000000011" footer="0.75000000000000011"/>
  <pageSetup paperSize="0" orientation="portrait" horizontalDpi="0" verticalDpi="0" copies="0"/>
  <headerFooter alignWithMargins="0">
    <oddHeader xml:space="preserve">&amp;R&amp;"Calibri,Regular"&amp;10 RESTRICTED&amp;1#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6"/>
  <sheetViews>
    <sheetView tabSelected="1" topLeftCell="A4" workbookViewId="0">
      <selection activeCell="K56" sqref="K56"/>
    </sheetView>
  </sheetViews>
  <sheetFormatPr defaultColWidth="11.75" defaultRowHeight="15" outlineLevelCol="1" x14ac:dyDescent="0.25"/>
  <cols>
    <col min="1" max="3" width="11.75" style="48" customWidth="1"/>
    <col min="4" max="4" width="9.5" style="48" customWidth="1"/>
    <col min="5" max="5" width="11.75" style="48" hidden="1" customWidth="1" outlineLevel="1"/>
    <col min="6" max="6" width="11.75" style="145" hidden="1" customWidth="1" outlineLevel="1"/>
    <col min="7" max="7" width="8.875" style="48" customWidth="1" collapsed="1"/>
    <col min="8" max="8" width="4.5" style="48" customWidth="1"/>
    <col min="9" max="9" width="9.5" style="48" customWidth="1"/>
    <col min="10" max="10" width="4.875" style="48" customWidth="1"/>
    <col min="11" max="11" width="8.625" style="48" customWidth="1"/>
    <col min="12" max="12" width="8.125" style="88" customWidth="1"/>
    <col min="13" max="13" width="7.75" style="88" customWidth="1"/>
    <col min="14" max="14" width="11.75" style="48" customWidth="1"/>
    <col min="15" max="15" width="30.75" style="48" bestFit="1" customWidth="1"/>
    <col min="16" max="16" width="4.75" style="48" bestFit="1" customWidth="1"/>
    <col min="17" max="16384" width="11.75" style="48"/>
  </cols>
  <sheetData>
    <row r="1" spans="1:13" x14ac:dyDescent="0.25">
      <c r="A1" s="42" t="s">
        <v>36</v>
      </c>
      <c r="B1" s="43"/>
      <c r="C1" s="43"/>
      <c r="D1" s="43"/>
      <c r="E1" s="44" t="s">
        <v>1</v>
      </c>
      <c r="F1" s="146" t="s">
        <v>101</v>
      </c>
      <c r="G1" s="44" t="s">
        <v>31</v>
      </c>
      <c r="H1" s="43"/>
      <c r="I1" s="46" t="s">
        <v>175</v>
      </c>
      <c r="J1" s="161"/>
      <c r="K1" s="174" t="s">
        <v>2</v>
      </c>
      <c r="L1"/>
    </row>
    <row r="2" spans="1:13" x14ac:dyDescent="0.25">
      <c r="A2" s="89" t="s">
        <v>3</v>
      </c>
      <c r="B2" s="52"/>
      <c r="C2" s="52"/>
      <c r="D2" s="52"/>
      <c r="E2" s="50">
        <v>2022</v>
      </c>
      <c r="F2" s="138">
        <v>2023</v>
      </c>
      <c r="G2" s="50">
        <v>2024</v>
      </c>
      <c r="H2" s="52"/>
      <c r="I2" s="53">
        <v>2024</v>
      </c>
      <c r="J2" s="161"/>
      <c r="K2" s="174">
        <v>2025</v>
      </c>
    </row>
    <row r="3" spans="1:13" x14ac:dyDescent="0.25">
      <c r="A3" s="42" t="s">
        <v>102</v>
      </c>
      <c r="B3" s="54"/>
      <c r="C3" s="54"/>
      <c r="D3" s="43"/>
      <c r="E3" s="92"/>
      <c r="F3" s="139"/>
      <c r="G3" s="92"/>
      <c r="H3" s="43"/>
      <c r="I3" s="56"/>
      <c r="J3" s="162"/>
      <c r="K3" s="128"/>
    </row>
    <row r="4" spans="1:13" x14ac:dyDescent="0.25">
      <c r="A4" s="57" t="s">
        <v>103</v>
      </c>
      <c r="B4" s="58"/>
      <c r="C4" s="58"/>
      <c r="E4" s="71"/>
      <c r="F4" s="140"/>
      <c r="G4" s="71"/>
      <c r="I4" s="60"/>
      <c r="J4" s="162"/>
      <c r="K4" s="129"/>
    </row>
    <row r="5" spans="1:13" x14ac:dyDescent="0.25">
      <c r="A5" s="61">
        <v>413400</v>
      </c>
      <c r="B5" s="48" t="s">
        <v>104</v>
      </c>
      <c r="E5" s="71">
        <v>18</v>
      </c>
      <c r="F5" s="140">
        <v>40</v>
      </c>
      <c r="G5" s="71">
        <v>4</v>
      </c>
      <c r="I5" s="60">
        <v>35</v>
      </c>
      <c r="J5" s="162"/>
      <c r="K5" s="129">
        <v>35</v>
      </c>
      <c r="M5" s="93"/>
    </row>
    <row r="6" spans="1:13" x14ac:dyDescent="0.25">
      <c r="A6" s="61">
        <v>413810</v>
      </c>
      <c r="B6" s="48" t="s">
        <v>105</v>
      </c>
      <c r="E6" s="71">
        <v>0</v>
      </c>
      <c r="F6" s="140"/>
      <c r="G6" s="71">
        <v>0</v>
      </c>
      <c r="I6" s="60">
        <v>5</v>
      </c>
      <c r="J6" s="162"/>
      <c r="K6" s="129">
        <v>5</v>
      </c>
    </row>
    <row r="7" spans="1:13" x14ac:dyDescent="0.25">
      <c r="A7" s="67">
        <v>413999</v>
      </c>
      <c r="B7" s="58" t="s">
        <v>103</v>
      </c>
      <c r="C7" s="58"/>
      <c r="D7" s="58"/>
      <c r="E7" s="84">
        <f>E5+E6</f>
        <v>18</v>
      </c>
      <c r="F7" s="141">
        <f>F5+F6</f>
        <v>40</v>
      </c>
      <c r="G7" s="84">
        <f>G5+G6</f>
        <v>4</v>
      </c>
      <c r="I7" s="86">
        <f>I5+I6</f>
        <v>40</v>
      </c>
      <c r="J7" s="167"/>
      <c r="K7" s="130">
        <f>K5+K6</f>
        <v>40</v>
      </c>
    </row>
    <row r="8" spans="1:13" x14ac:dyDescent="0.25">
      <c r="A8" s="49"/>
      <c r="E8" s="71"/>
      <c r="F8" s="140"/>
      <c r="G8" s="71"/>
      <c r="I8" s="60"/>
      <c r="J8" s="162"/>
      <c r="K8" s="129"/>
    </row>
    <row r="9" spans="1:13" x14ac:dyDescent="0.25">
      <c r="A9" s="57" t="s">
        <v>106</v>
      </c>
      <c r="E9" s="71"/>
      <c r="F9" s="140"/>
      <c r="G9" s="71"/>
      <c r="I9" s="60"/>
      <c r="J9" s="162"/>
      <c r="K9" s="129"/>
    </row>
    <row r="10" spans="1:13" x14ac:dyDescent="0.25">
      <c r="A10" s="61">
        <v>418700</v>
      </c>
      <c r="B10" s="48" t="s">
        <v>107</v>
      </c>
      <c r="E10" s="71">
        <v>0</v>
      </c>
      <c r="F10" s="140"/>
      <c r="G10" s="71">
        <v>0</v>
      </c>
      <c r="I10" s="60">
        <v>0</v>
      </c>
      <c r="J10" s="162"/>
      <c r="K10" s="129">
        <v>0</v>
      </c>
      <c r="M10" s="93"/>
    </row>
    <row r="11" spans="1:13" x14ac:dyDescent="0.25">
      <c r="A11" s="61">
        <v>418875</v>
      </c>
      <c r="B11" s="48" t="s">
        <v>108</v>
      </c>
      <c r="E11" s="71">
        <v>3</v>
      </c>
      <c r="F11" s="140">
        <v>2</v>
      </c>
      <c r="G11" s="71">
        <v>11</v>
      </c>
      <c r="I11" s="60">
        <v>2</v>
      </c>
      <c r="J11" s="162"/>
      <c r="K11" s="129">
        <v>2</v>
      </c>
    </row>
    <row r="12" spans="1:13" x14ac:dyDescent="0.25">
      <c r="A12" s="61">
        <v>418990</v>
      </c>
      <c r="B12" s="48" t="s">
        <v>109</v>
      </c>
      <c r="E12" s="71">
        <v>80</v>
      </c>
      <c r="F12" s="140">
        <v>90</v>
      </c>
      <c r="G12" s="71">
        <v>70</v>
      </c>
      <c r="I12" s="60">
        <v>90</v>
      </c>
      <c r="J12" s="162"/>
      <c r="K12" s="129">
        <v>90</v>
      </c>
      <c r="M12" s="93"/>
    </row>
    <row r="13" spans="1:13" x14ac:dyDescent="0.25">
      <c r="A13" s="67">
        <v>418999</v>
      </c>
      <c r="B13" s="58" t="s">
        <v>110</v>
      </c>
      <c r="C13" s="58"/>
      <c r="E13" s="84">
        <f>E10+E11+E12</f>
        <v>83</v>
      </c>
      <c r="F13" s="141">
        <f>F10+F11+F12</f>
        <v>92</v>
      </c>
      <c r="G13" s="84">
        <f>SUM(G10:G12)</f>
        <v>81</v>
      </c>
      <c r="I13" s="86">
        <f>I10+I11+I12</f>
        <v>92</v>
      </c>
      <c r="J13" s="167"/>
      <c r="K13" s="130">
        <f>K10+K11+K12</f>
        <v>92</v>
      </c>
    </row>
    <row r="14" spans="1:13" x14ac:dyDescent="0.25">
      <c r="A14" s="49"/>
      <c r="E14" s="71"/>
      <c r="F14" s="140"/>
      <c r="G14" s="71"/>
      <c r="I14" s="60"/>
      <c r="J14" s="162"/>
      <c r="K14" s="129"/>
    </row>
    <row r="15" spans="1:13" x14ac:dyDescent="0.25">
      <c r="A15" s="57" t="s">
        <v>111</v>
      </c>
      <c r="B15" s="58"/>
      <c r="C15" s="58"/>
      <c r="E15" s="71"/>
      <c r="F15" s="140"/>
      <c r="G15" s="71"/>
      <c r="I15" s="60"/>
      <c r="J15" s="162"/>
      <c r="K15" s="129"/>
    </row>
    <row r="16" spans="1:13" x14ac:dyDescent="0.25">
      <c r="A16" s="61">
        <v>423300</v>
      </c>
      <c r="B16" s="48" t="s">
        <v>112</v>
      </c>
      <c r="E16" s="71">
        <v>1</v>
      </c>
      <c r="F16" s="140">
        <v>1</v>
      </c>
      <c r="G16" s="71">
        <v>0</v>
      </c>
      <c r="I16" s="60"/>
      <c r="J16" s="162"/>
      <c r="K16" s="129"/>
    </row>
    <row r="17" spans="1:13" x14ac:dyDescent="0.25">
      <c r="A17" s="61">
        <v>423600</v>
      </c>
      <c r="B17" s="48" t="s">
        <v>113</v>
      </c>
      <c r="E17" s="71">
        <v>1</v>
      </c>
      <c r="F17" s="140">
        <v>1</v>
      </c>
      <c r="G17" s="71">
        <v>9</v>
      </c>
      <c r="I17" s="60">
        <v>2</v>
      </c>
      <c r="J17" s="162"/>
      <c r="K17" s="129">
        <v>3</v>
      </c>
    </row>
    <row r="18" spans="1:13" x14ac:dyDescent="0.25">
      <c r="A18" s="67">
        <v>423999</v>
      </c>
      <c r="B18" s="58" t="s">
        <v>114</v>
      </c>
      <c r="C18" s="58"/>
      <c r="D18" s="58"/>
      <c r="E18" s="84">
        <f>SUM(E16:E17)</f>
        <v>2</v>
      </c>
      <c r="F18" s="141">
        <f>SUM(F16:F17)</f>
        <v>2</v>
      </c>
      <c r="G18" s="84">
        <f>G16+G17</f>
        <v>9</v>
      </c>
      <c r="I18" s="86">
        <f>I16+I17</f>
        <v>2</v>
      </c>
      <c r="J18" s="167"/>
      <c r="K18" s="130">
        <f>K16+K17</f>
        <v>3</v>
      </c>
    </row>
    <row r="19" spans="1:13" x14ac:dyDescent="0.25">
      <c r="A19" s="49"/>
      <c r="E19" s="71"/>
      <c r="F19" s="140"/>
      <c r="G19" s="71"/>
      <c r="I19" s="60"/>
      <c r="J19" s="162"/>
      <c r="K19" s="129"/>
    </row>
    <row r="20" spans="1:13" x14ac:dyDescent="0.25">
      <c r="A20" s="57" t="s">
        <v>115</v>
      </c>
      <c r="B20" s="58"/>
      <c r="E20" s="71"/>
      <c r="F20" s="140"/>
      <c r="G20" s="71"/>
      <c r="I20" s="60"/>
      <c r="J20" s="162"/>
      <c r="K20" s="129"/>
    </row>
    <row r="21" spans="1:13" x14ac:dyDescent="0.25">
      <c r="A21" s="61">
        <v>428500</v>
      </c>
      <c r="B21" s="48" t="s">
        <v>116</v>
      </c>
      <c r="E21" s="71">
        <v>60</v>
      </c>
      <c r="F21" s="140">
        <v>70</v>
      </c>
      <c r="G21" s="110">
        <v>46</v>
      </c>
      <c r="I21" s="60">
        <v>70</v>
      </c>
      <c r="J21" s="162"/>
      <c r="K21" s="129">
        <v>70</v>
      </c>
    </row>
    <row r="22" spans="1:13" x14ac:dyDescent="0.25">
      <c r="A22" s="61">
        <v>428600</v>
      </c>
      <c r="B22" s="48" t="s">
        <v>117</v>
      </c>
      <c r="E22" s="71">
        <v>12</v>
      </c>
      <c r="F22" s="140">
        <v>10</v>
      </c>
      <c r="G22" s="71">
        <v>6</v>
      </c>
      <c r="I22" s="60">
        <v>10</v>
      </c>
      <c r="J22" s="162"/>
      <c r="K22" s="129">
        <v>10</v>
      </c>
    </row>
    <row r="23" spans="1:13" x14ac:dyDescent="0.25">
      <c r="A23" s="61">
        <v>428700</v>
      </c>
      <c r="B23" s="48" t="s">
        <v>118</v>
      </c>
      <c r="E23" s="71">
        <v>13</v>
      </c>
      <c r="F23" s="140">
        <v>15</v>
      </c>
      <c r="G23" s="71">
        <v>23</v>
      </c>
      <c r="I23" s="60">
        <v>15</v>
      </c>
      <c r="J23" s="162"/>
      <c r="K23" s="129">
        <v>15</v>
      </c>
    </row>
    <row r="24" spans="1:13" x14ac:dyDescent="0.25">
      <c r="A24" s="61">
        <v>428701</v>
      </c>
      <c r="B24" s="48" t="s">
        <v>119</v>
      </c>
      <c r="E24" s="71"/>
      <c r="F24" s="140"/>
      <c r="G24" s="71">
        <v>0</v>
      </c>
      <c r="I24" s="60">
        <v>0</v>
      </c>
      <c r="J24" s="162"/>
      <c r="K24" s="129">
        <v>0</v>
      </c>
    </row>
    <row r="25" spans="1:13" x14ac:dyDescent="0.25">
      <c r="A25" s="61">
        <v>428750</v>
      </c>
      <c r="B25" s="48" t="s">
        <v>120</v>
      </c>
      <c r="E25" s="71"/>
      <c r="F25" s="140">
        <v>15</v>
      </c>
      <c r="G25" s="71">
        <v>0</v>
      </c>
      <c r="I25" s="60">
        <v>0</v>
      </c>
      <c r="J25" s="162"/>
      <c r="K25" s="129">
        <v>0</v>
      </c>
    </row>
    <row r="26" spans="1:13" x14ac:dyDescent="0.25">
      <c r="A26" s="61">
        <v>428800</v>
      </c>
      <c r="B26" s="48" t="s">
        <v>121</v>
      </c>
      <c r="E26" s="71"/>
      <c r="F26" s="140"/>
      <c r="G26" s="71">
        <v>233</v>
      </c>
      <c r="I26" s="94">
        <v>0</v>
      </c>
      <c r="J26" s="171"/>
      <c r="K26" s="129">
        <v>0</v>
      </c>
    </row>
    <row r="27" spans="1:13" x14ac:dyDescent="0.25">
      <c r="A27" s="61"/>
      <c r="B27" s="48" t="s">
        <v>122</v>
      </c>
      <c r="E27" s="71">
        <v>1</v>
      </c>
      <c r="F27" s="140"/>
      <c r="G27" s="71">
        <v>0</v>
      </c>
      <c r="I27" s="94">
        <v>25</v>
      </c>
      <c r="J27" s="162"/>
      <c r="K27" s="129">
        <v>25</v>
      </c>
    </row>
    <row r="28" spans="1:13" x14ac:dyDescent="0.25">
      <c r="A28" s="61">
        <v>428980</v>
      </c>
      <c r="B28" s="48" t="s">
        <v>123</v>
      </c>
      <c r="E28" s="71">
        <v>530</v>
      </c>
      <c r="F28" s="142">
        <v>660</v>
      </c>
      <c r="G28" s="71">
        <v>754</v>
      </c>
      <c r="I28" s="94">
        <v>652</v>
      </c>
      <c r="J28" s="175"/>
      <c r="K28" s="131">
        <v>652</v>
      </c>
      <c r="M28" s="93"/>
    </row>
    <row r="29" spans="1:13" x14ac:dyDescent="0.25">
      <c r="A29" s="61">
        <v>428985</v>
      </c>
      <c r="B29" s="48" t="s">
        <v>124</v>
      </c>
      <c r="E29" s="71">
        <v>13</v>
      </c>
      <c r="F29" s="140">
        <v>5</v>
      </c>
      <c r="G29" s="71">
        <v>6</v>
      </c>
      <c r="I29" s="60">
        <v>10</v>
      </c>
      <c r="J29" s="162"/>
      <c r="K29" s="129">
        <v>10</v>
      </c>
    </row>
    <row r="30" spans="1:13" x14ac:dyDescent="0.25">
      <c r="A30" s="61">
        <v>428990</v>
      </c>
      <c r="B30" s="48" t="s">
        <v>125</v>
      </c>
      <c r="E30" s="71">
        <v>93</v>
      </c>
      <c r="F30" s="140">
        <v>125</v>
      </c>
      <c r="G30" s="71">
        <v>67</v>
      </c>
      <c r="I30" s="60">
        <v>125</v>
      </c>
      <c r="J30" s="162"/>
      <c r="K30" s="129">
        <v>125</v>
      </c>
      <c r="M30" s="93"/>
    </row>
    <row r="31" spans="1:13" x14ac:dyDescent="0.25">
      <c r="A31" s="67">
        <v>428999</v>
      </c>
      <c r="B31" s="58" t="s">
        <v>126</v>
      </c>
      <c r="C31" s="58"/>
      <c r="E31" s="84">
        <f>SUM(E21:E30)</f>
        <v>722</v>
      </c>
      <c r="F31" s="141">
        <f>SUM(F21:F30)</f>
        <v>900</v>
      </c>
      <c r="G31" s="173">
        <f>SUM(G21:G30)</f>
        <v>1135</v>
      </c>
      <c r="I31" s="96">
        <f>SUM(I21:I30)</f>
        <v>907</v>
      </c>
      <c r="J31" s="176"/>
      <c r="K31" s="132">
        <f>SUM(K21:K30)</f>
        <v>907</v>
      </c>
    </row>
    <row r="32" spans="1:13" x14ac:dyDescent="0.25">
      <c r="A32" s="49"/>
      <c r="E32" s="71"/>
      <c r="F32" s="140"/>
      <c r="G32" s="71"/>
      <c r="I32" s="60"/>
      <c r="J32" s="162"/>
      <c r="K32" s="129"/>
    </row>
    <row r="33" spans="1:12" x14ac:dyDescent="0.25">
      <c r="A33" s="57" t="s">
        <v>127</v>
      </c>
      <c r="B33" s="58"/>
      <c r="E33" s="71"/>
      <c r="F33" s="140"/>
      <c r="G33" s="71"/>
      <c r="I33" s="60"/>
      <c r="J33" s="162"/>
      <c r="K33" s="129"/>
    </row>
    <row r="34" spans="1:12" x14ac:dyDescent="0.25">
      <c r="A34" s="61">
        <v>429200</v>
      </c>
      <c r="B34" s="48" t="s">
        <v>128</v>
      </c>
      <c r="E34" s="71">
        <v>75</v>
      </c>
      <c r="F34" s="140">
        <v>90</v>
      </c>
      <c r="G34" s="78">
        <v>100</v>
      </c>
      <c r="I34" s="60">
        <v>90</v>
      </c>
      <c r="J34" s="162"/>
      <c r="K34" s="129">
        <v>90</v>
      </c>
    </row>
    <row r="35" spans="1:12" x14ac:dyDescent="0.25">
      <c r="A35" s="61">
        <v>429300</v>
      </c>
      <c r="B35" s="48" t="s">
        <v>129</v>
      </c>
      <c r="E35" s="71"/>
      <c r="F35" s="140"/>
      <c r="G35" s="71">
        <v>0</v>
      </c>
      <c r="I35" s="60">
        <v>0</v>
      </c>
      <c r="J35" s="162"/>
      <c r="K35" s="129">
        <v>0</v>
      </c>
    </row>
    <row r="36" spans="1:12" x14ac:dyDescent="0.25">
      <c r="A36" s="61">
        <v>429600</v>
      </c>
      <c r="B36" s="48" t="s">
        <v>130</v>
      </c>
      <c r="E36" s="71">
        <v>8</v>
      </c>
      <c r="F36" s="140"/>
      <c r="G36" s="71">
        <v>308</v>
      </c>
      <c r="I36" s="60">
        <v>160</v>
      </c>
      <c r="J36" s="162"/>
      <c r="K36" s="129">
        <v>160</v>
      </c>
      <c r="L36" s="93"/>
    </row>
    <row r="37" spans="1:12" x14ac:dyDescent="0.25">
      <c r="A37" s="61">
        <v>429700</v>
      </c>
      <c r="B37" s="48" t="s">
        <v>131</v>
      </c>
      <c r="E37" s="71"/>
      <c r="F37" s="140"/>
      <c r="G37" s="71">
        <v>0</v>
      </c>
      <c r="I37" s="60"/>
      <c r="J37" s="162"/>
      <c r="K37" s="129"/>
    </row>
    <row r="38" spans="1:12" x14ac:dyDescent="0.25">
      <c r="A38" s="67">
        <v>429999</v>
      </c>
      <c r="B38" s="58" t="s">
        <v>132</v>
      </c>
      <c r="C38" s="58"/>
      <c r="E38" s="84">
        <f>SUM(E34:E37)</f>
        <v>83</v>
      </c>
      <c r="F38" s="141">
        <f>SUM(F34:F37)</f>
        <v>90</v>
      </c>
      <c r="G38" s="95">
        <f>SUM(G34:G37)</f>
        <v>408</v>
      </c>
      <c r="I38" s="86">
        <f>SUM(I34:I37)</f>
        <v>250</v>
      </c>
      <c r="J38" s="167"/>
      <c r="K38" s="130">
        <f>SUM(K34:K37)</f>
        <v>250</v>
      </c>
    </row>
    <row r="39" spans="1:12" x14ac:dyDescent="0.25">
      <c r="A39" s="49"/>
      <c r="E39" s="71"/>
      <c r="F39" s="140"/>
      <c r="G39" s="71"/>
      <c r="I39" s="60"/>
      <c r="J39" s="162"/>
      <c r="K39" s="129"/>
    </row>
    <row r="40" spans="1:12" x14ac:dyDescent="0.25">
      <c r="A40" s="57" t="s">
        <v>133</v>
      </c>
      <c r="E40" s="71"/>
      <c r="F40" s="140"/>
      <c r="G40" s="71"/>
      <c r="I40" s="60"/>
      <c r="J40" s="162"/>
      <c r="K40" s="129"/>
    </row>
    <row r="41" spans="1:12" x14ac:dyDescent="0.25">
      <c r="A41" s="61">
        <v>431200</v>
      </c>
      <c r="B41" s="48" t="s">
        <v>133</v>
      </c>
      <c r="E41" s="71">
        <v>59</v>
      </c>
      <c r="F41" s="140">
        <v>65</v>
      </c>
      <c r="G41" s="71">
        <v>86</v>
      </c>
      <c r="I41" s="60">
        <v>100</v>
      </c>
      <c r="J41" s="162"/>
      <c r="K41" s="129">
        <v>100</v>
      </c>
    </row>
    <row r="42" spans="1:12" x14ac:dyDescent="0.25">
      <c r="A42" s="67">
        <v>431999</v>
      </c>
      <c r="B42" s="58" t="s">
        <v>134</v>
      </c>
      <c r="C42" s="58"/>
      <c r="E42" s="84">
        <f>SUM(E41)</f>
        <v>59</v>
      </c>
      <c r="F42" s="141">
        <f>SUM(F41)</f>
        <v>65</v>
      </c>
      <c r="G42" s="84">
        <f>G41</f>
        <v>86</v>
      </c>
      <c r="I42" s="86">
        <f>I41</f>
        <v>100</v>
      </c>
      <c r="J42" s="167"/>
      <c r="K42" s="130">
        <f>K41</f>
        <v>100</v>
      </c>
    </row>
    <row r="43" spans="1:12" x14ac:dyDescent="0.25">
      <c r="A43" s="49"/>
      <c r="E43" s="71"/>
      <c r="F43" s="140"/>
      <c r="G43" s="71"/>
      <c r="I43" s="60"/>
      <c r="J43" s="162"/>
      <c r="K43" s="129"/>
    </row>
    <row r="44" spans="1:12" x14ac:dyDescent="0.25">
      <c r="A44" s="57" t="s">
        <v>135</v>
      </c>
      <c r="E44" s="71"/>
      <c r="F44" s="140"/>
      <c r="G44" s="71"/>
      <c r="I44" s="60"/>
      <c r="J44" s="162"/>
      <c r="K44" s="129"/>
    </row>
    <row r="45" spans="1:12" x14ac:dyDescent="0.25">
      <c r="A45" s="61">
        <v>432100</v>
      </c>
      <c r="B45" s="48" t="s">
        <v>136</v>
      </c>
      <c r="E45" s="71">
        <v>12</v>
      </c>
      <c r="F45" s="140">
        <v>75</v>
      </c>
      <c r="G45" s="71">
        <v>153</v>
      </c>
      <c r="I45" s="60">
        <v>100</v>
      </c>
      <c r="J45" s="162"/>
      <c r="K45" s="129">
        <v>100</v>
      </c>
    </row>
    <row r="46" spans="1:12" x14ac:dyDescent="0.25">
      <c r="A46" s="61">
        <v>432150</v>
      </c>
      <c r="B46" s="48" t="s">
        <v>137</v>
      </c>
      <c r="E46" s="71">
        <v>94</v>
      </c>
      <c r="F46" s="140">
        <v>100</v>
      </c>
      <c r="G46" s="71">
        <v>13</v>
      </c>
      <c r="I46" s="60">
        <v>0</v>
      </c>
      <c r="J46" s="162"/>
      <c r="K46" s="129">
        <v>0</v>
      </c>
    </row>
    <row r="47" spans="1:12" x14ac:dyDescent="0.25">
      <c r="A47" s="61">
        <v>432200</v>
      </c>
      <c r="B47" s="48" t="s">
        <v>138</v>
      </c>
      <c r="E47" s="71">
        <v>19</v>
      </c>
      <c r="F47" s="140"/>
      <c r="G47" s="71">
        <v>10</v>
      </c>
      <c r="I47" s="60">
        <v>25</v>
      </c>
      <c r="J47" s="162"/>
      <c r="K47" s="129">
        <v>25</v>
      </c>
      <c r="L47" s="93"/>
    </row>
    <row r="48" spans="1:12" x14ac:dyDescent="0.25">
      <c r="A48" s="61"/>
      <c r="B48" s="48" t="s">
        <v>139</v>
      </c>
      <c r="E48" s="71">
        <v>182</v>
      </c>
      <c r="F48" s="140">
        <v>185</v>
      </c>
      <c r="G48" s="71">
        <v>88</v>
      </c>
      <c r="I48" s="60">
        <v>100</v>
      </c>
      <c r="J48" s="162"/>
      <c r="K48" s="129">
        <v>100</v>
      </c>
    </row>
    <row r="49" spans="1:13" x14ac:dyDescent="0.25">
      <c r="A49" s="61">
        <v>432400</v>
      </c>
      <c r="B49" s="48" t="s">
        <v>140</v>
      </c>
      <c r="E49" s="71"/>
      <c r="F49" s="140"/>
      <c r="G49" s="71">
        <v>0</v>
      </c>
      <c r="I49" s="60">
        <v>0</v>
      </c>
      <c r="J49" s="162"/>
      <c r="K49" s="129">
        <v>0</v>
      </c>
    </row>
    <row r="50" spans="1:13" x14ac:dyDescent="0.25">
      <c r="A50" s="61">
        <v>432450</v>
      </c>
      <c r="B50" s="48" t="s">
        <v>141</v>
      </c>
      <c r="E50" s="71">
        <v>134</v>
      </c>
      <c r="F50" s="140">
        <v>90</v>
      </c>
      <c r="G50" s="71">
        <v>94</v>
      </c>
      <c r="I50" s="60">
        <v>90</v>
      </c>
      <c r="J50" s="162"/>
      <c r="K50" s="129">
        <v>100</v>
      </c>
    </row>
    <row r="51" spans="1:13" x14ac:dyDescent="0.25">
      <c r="A51" s="61">
        <v>432600</v>
      </c>
      <c r="B51" s="48" t="s">
        <v>142</v>
      </c>
      <c r="E51" s="71">
        <v>44</v>
      </c>
      <c r="F51" s="140">
        <v>30</v>
      </c>
      <c r="G51" s="71">
        <v>28</v>
      </c>
      <c r="I51" s="60">
        <v>45</v>
      </c>
      <c r="J51" s="162"/>
      <c r="K51" s="129">
        <v>45</v>
      </c>
    </row>
    <row r="52" spans="1:13" x14ac:dyDescent="0.25">
      <c r="A52" s="67">
        <v>432999</v>
      </c>
      <c r="B52" s="58" t="s">
        <v>143</v>
      </c>
      <c r="C52" s="58"/>
      <c r="E52" s="84">
        <f>SUM(E45:E51)</f>
        <v>485</v>
      </c>
      <c r="F52" s="141">
        <f>SUM(F45:F51)</f>
        <v>480</v>
      </c>
      <c r="G52" s="84">
        <f>SUM(G45:G51)</f>
        <v>386</v>
      </c>
      <c r="I52" s="86">
        <f>SUM(I45:I51)</f>
        <v>360</v>
      </c>
      <c r="J52" s="167"/>
      <c r="K52" s="130">
        <f>SUM(K45:K51)</f>
        <v>370</v>
      </c>
    </row>
    <row r="53" spans="1:13" x14ac:dyDescent="0.25">
      <c r="A53" s="67"/>
      <c r="B53" s="58"/>
      <c r="C53" s="58"/>
      <c r="E53" s="71"/>
      <c r="F53" s="140"/>
      <c r="G53" s="71"/>
      <c r="I53" s="60"/>
      <c r="J53" s="162"/>
      <c r="K53" s="129"/>
    </row>
    <row r="54" spans="1:13" x14ac:dyDescent="0.25">
      <c r="A54" s="67">
        <v>439999</v>
      </c>
      <c r="B54" s="58" t="s">
        <v>144</v>
      </c>
      <c r="C54" s="58"/>
      <c r="D54" s="58"/>
      <c r="E54" s="81">
        <f>E7+E13+E18+E31+E38+E42+E52</f>
        <v>1452</v>
      </c>
      <c r="F54" s="143">
        <f>F7+F13+F18+F31+F38+F42+F52</f>
        <v>1669</v>
      </c>
      <c r="G54" s="81">
        <f>G7+G13+G18+G31+G38+G42+G52</f>
        <v>2109</v>
      </c>
      <c r="I54" s="82">
        <f>I7+I13+I18+I31+I38+I42+I52</f>
        <v>1751</v>
      </c>
      <c r="J54" s="166"/>
      <c r="K54" s="133">
        <f>K7+K13+K18+K31+K38+K42+K52</f>
        <v>1762</v>
      </c>
    </row>
    <row r="55" spans="1:13" x14ac:dyDescent="0.25">
      <c r="A55" s="49"/>
      <c r="E55" s="71"/>
      <c r="F55" s="140"/>
      <c r="G55" s="71"/>
      <c r="I55" s="60"/>
      <c r="J55" s="162"/>
      <c r="K55" s="129"/>
    </row>
    <row r="56" spans="1:13" x14ac:dyDescent="0.25">
      <c r="A56" s="74">
        <v>440000</v>
      </c>
      <c r="B56" s="75" t="s">
        <v>145</v>
      </c>
      <c r="C56" s="75"/>
      <c r="D56" s="75"/>
      <c r="E56" s="68">
        <f>Prod__og_distr_!E15+Prod__og_distr_!E71+E54</f>
        <v>-399</v>
      </c>
      <c r="F56" s="144">
        <f>Prod__og_distr_!F15+Prod__og_distr_!F71+F54</f>
        <v>592</v>
      </c>
      <c r="G56" s="68">
        <f>Prod__og_distr_!G15-Prod__og_distr_!G71-G54</f>
        <v>213.79199999999946</v>
      </c>
      <c r="H56" s="52"/>
      <c r="I56" s="87">
        <f>Prod__og_distr_!I15-Prod__og_distr_!I71-I54</f>
        <v>260.55000000000109</v>
      </c>
      <c r="J56" s="172"/>
      <c r="K56" s="135">
        <f>Prod__og_distr_!Z15-Prod__og_distr_!Z71-K54</f>
        <v>807.67500000000291</v>
      </c>
      <c r="L56" s="93"/>
      <c r="M56" s="93"/>
    </row>
  </sheetData>
  <pageMargins left="0.25" right="0.25" top="1.1437007874015752" bottom="1.1437007874015752" header="0.75000000000000011" footer="0.75000000000000011"/>
  <pageSetup paperSize="0" orientation="portrait" horizontalDpi="0" verticalDpi="0" copies="0"/>
  <headerFooter alignWithMargins="0">
    <oddHeader xml:space="preserve">&amp;R&amp;"Calibri,Regular"&amp;10 RESTRICTED&amp;1#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4"/>
  <sheetViews>
    <sheetView topLeftCell="A28" workbookViewId="0">
      <selection activeCell="L15" sqref="L15"/>
    </sheetView>
  </sheetViews>
  <sheetFormatPr defaultColWidth="11.75" defaultRowHeight="15" outlineLevelCol="1" x14ac:dyDescent="0.25"/>
  <cols>
    <col min="1" max="2" width="11.75" style="48" customWidth="1"/>
    <col min="3" max="3" width="10.5" style="48" customWidth="1"/>
    <col min="4" max="5" width="11.75" style="48" hidden="1" customWidth="1" outlineLevel="1"/>
    <col min="6" max="6" width="9.75" style="48" customWidth="1" collapsed="1"/>
    <col min="7" max="7" width="6" style="48" customWidth="1"/>
    <col min="8" max="8" width="7.125" style="48" customWidth="1"/>
    <col min="9" max="10" width="10.625" style="48" hidden="1" customWidth="1"/>
    <col min="11" max="11" width="5.875" style="91" customWidth="1"/>
    <col min="12" max="12" width="9.875" style="91" customWidth="1"/>
    <col min="13" max="13" width="5.25" style="48" customWidth="1"/>
    <col min="14" max="16384" width="11.75" style="48"/>
  </cols>
  <sheetData>
    <row r="1" spans="1:12" x14ac:dyDescent="0.25">
      <c r="A1" s="42" t="s">
        <v>36</v>
      </c>
      <c r="B1" s="43"/>
      <c r="C1" s="43"/>
      <c r="D1" s="44" t="s">
        <v>1</v>
      </c>
      <c r="E1" s="97" t="s">
        <v>2</v>
      </c>
      <c r="F1" s="44" t="s">
        <v>31</v>
      </c>
      <c r="G1" s="44"/>
      <c r="H1" s="46" t="s">
        <v>175</v>
      </c>
      <c r="I1" s="47"/>
      <c r="L1" s="174" t="s">
        <v>2</v>
      </c>
    </row>
    <row r="2" spans="1:12" x14ac:dyDescent="0.25">
      <c r="A2" s="89" t="s">
        <v>3</v>
      </c>
      <c r="B2" s="52"/>
      <c r="C2" s="52"/>
      <c r="D2" s="50">
        <v>2021</v>
      </c>
      <c r="E2" s="98">
        <v>2022</v>
      </c>
      <c r="F2" s="50">
        <v>2024</v>
      </c>
      <c r="G2" s="50"/>
      <c r="H2" s="53">
        <v>2024</v>
      </c>
      <c r="I2" s="90" t="s">
        <v>37</v>
      </c>
      <c r="L2" s="174">
        <v>2025</v>
      </c>
    </row>
    <row r="3" spans="1:12" x14ac:dyDescent="0.25">
      <c r="A3" s="42" t="s">
        <v>146</v>
      </c>
      <c r="B3" s="54"/>
      <c r="C3" s="54"/>
      <c r="D3" s="43"/>
      <c r="E3" s="99"/>
      <c r="F3" s="92"/>
      <c r="G3" s="43"/>
      <c r="H3" s="56"/>
      <c r="I3" s="47"/>
      <c r="L3" s="128"/>
    </row>
    <row r="4" spans="1:12" x14ac:dyDescent="0.25">
      <c r="A4" s="49"/>
      <c r="E4" s="100"/>
      <c r="F4" s="71"/>
      <c r="H4" s="60"/>
      <c r="I4" s="47"/>
      <c r="L4" s="129"/>
    </row>
    <row r="5" spans="1:12" x14ac:dyDescent="0.25">
      <c r="A5" s="57" t="s">
        <v>22</v>
      </c>
      <c r="E5" s="100"/>
      <c r="F5" s="71"/>
      <c r="H5" s="60"/>
      <c r="I5" s="47"/>
      <c r="L5" s="129"/>
    </row>
    <row r="6" spans="1:12" x14ac:dyDescent="0.25">
      <c r="A6" s="61">
        <v>442300</v>
      </c>
      <c r="B6" s="48" t="s">
        <v>147</v>
      </c>
      <c r="E6" s="100">
        <v>-25</v>
      </c>
      <c r="F6" s="71">
        <v>25</v>
      </c>
      <c r="H6" s="60">
        <v>27</v>
      </c>
      <c r="I6" s="47"/>
      <c r="L6" s="129">
        <v>27</v>
      </c>
    </row>
    <row r="7" spans="1:12" x14ac:dyDescent="0.25">
      <c r="A7" s="61">
        <v>442350</v>
      </c>
      <c r="B7" s="48" t="s">
        <v>148</v>
      </c>
      <c r="E7" s="100">
        <v>-1</v>
      </c>
      <c r="F7" s="71"/>
      <c r="H7" s="60">
        <v>1</v>
      </c>
      <c r="I7" s="47"/>
      <c r="L7" s="129">
        <v>1</v>
      </c>
    </row>
    <row r="8" spans="1:12" x14ac:dyDescent="0.25">
      <c r="A8" s="61">
        <v>442400</v>
      </c>
      <c r="B8" s="48" t="s">
        <v>149</v>
      </c>
      <c r="E8" s="100">
        <v>-4</v>
      </c>
      <c r="F8" s="71">
        <v>0</v>
      </c>
      <c r="H8" s="60">
        <v>6</v>
      </c>
      <c r="I8" s="47"/>
      <c r="L8" s="129">
        <v>6</v>
      </c>
    </row>
    <row r="9" spans="1:12" x14ac:dyDescent="0.25">
      <c r="A9" s="61">
        <v>442475</v>
      </c>
      <c r="B9" s="48" t="s">
        <v>150</v>
      </c>
      <c r="E9" s="100">
        <v>-10</v>
      </c>
      <c r="F9" s="71">
        <v>0</v>
      </c>
      <c r="H9" s="60">
        <v>11</v>
      </c>
      <c r="I9" s="47"/>
      <c r="L9" s="129">
        <v>11</v>
      </c>
    </row>
    <row r="10" spans="1:12" x14ac:dyDescent="0.25">
      <c r="A10" s="61">
        <v>442900</v>
      </c>
      <c r="B10" s="48" t="s">
        <v>151</v>
      </c>
      <c r="E10" s="100">
        <v>0</v>
      </c>
      <c r="F10" s="71"/>
      <c r="H10" s="60">
        <v>0</v>
      </c>
      <c r="I10" s="47"/>
      <c r="L10" s="129">
        <v>0</v>
      </c>
    </row>
    <row r="11" spans="1:12" x14ac:dyDescent="0.25">
      <c r="A11" s="67">
        <v>442999</v>
      </c>
      <c r="B11" s="58" t="s">
        <v>152</v>
      </c>
      <c r="C11" s="58"/>
      <c r="D11" s="84">
        <v>-45</v>
      </c>
      <c r="E11" s="100">
        <v>-40</v>
      </c>
      <c r="F11" s="84">
        <f>SUM(F6:F10)</f>
        <v>25</v>
      </c>
      <c r="H11" s="86">
        <f>SUM(H6:H10)</f>
        <v>45</v>
      </c>
      <c r="I11" s="47"/>
      <c r="L11" s="130">
        <f>SUM(L6:L10)</f>
        <v>45</v>
      </c>
    </row>
    <row r="12" spans="1:12" x14ac:dyDescent="0.25">
      <c r="A12" s="49"/>
      <c r="E12" s="100"/>
      <c r="F12" s="71"/>
      <c r="H12" s="60"/>
      <c r="I12" s="47"/>
      <c r="L12" s="129"/>
    </row>
    <row r="13" spans="1:12" x14ac:dyDescent="0.25">
      <c r="A13" s="57" t="s">
        <v>153</v>
      </c>
      <c r="B13" s="58"/>
      <c r="E13" s="100"/>
      <c r="F13" s="71"/>
      <c r="H13" s="60"/>
      <c r="I13" s="47"/>
      <c r="L13" s="129"/>
    </row>
    <row r="14" spans="1:12" x14ac:dyDescent="0.25">
      <c r="A14" s="61">
        <v>445900</v>
      </c>
      <c r="B14" s="48" t="s">
        <v>154</v>
      </c>
      <c r="E14" s="100">
        <v>105</v>
      </c>
      <c r="F14" s="71">
        <v>114</v>
      </c>
      <c r="H14" s="60">
        <v>110</v>
      </c>
      <c r="I14" s="47"/>
      <c r="L14" s="129">
        <v>114</v>
      </c>
    </row>
    <row r="15" spans="1:12" x14ac:dyDescent="0.25">
      <c r="A15" s="67">
        <v>445999</v>
      </c>
      <c r="B15" s="58" t="s">
        <v>155</v>
      </c>
      <c r="C15" s="58"/>
      <c r="D15" s="84">
        <v>-104</v>
      </c>
      <c r="E15" s="100">
        <v>-105</v>
      </c>
      <c r="F15" s="84">
        <f>F14</f>
        <v>114</v>
      </c>
      <c r="H15" s="86">
        <f>SUM(H14)</f>
        <v>110</v>
      </c>
      <c r="I15" s="47"/>
      <c r="L15" s="130">
        <f>SUM(L14)</f>
        <v>114</v>
      </c>
    </row>
    <row r="16" spans="1:12" x14ac:dyDescent="0.25">
      <c r="A16" s="49"/>
      <c r="E16" s="100"/>
      <c r="F16" s="71"/>
      <c r="H16" s="60"/>
      <c r="I16" s="47"/>
      <c r="L16" s="129"/>
    </row>
    <row r="17" spans="1:12" x14ac:dyDescent="0.25">
      <c r="A17" s="67">
        <v>453999</v>
      </c>
      <c r="B17" s="58" t="s">
        <v>156</v>
      </c>
      <c r="C17" s="58"/>
      <c r="D17" s="84">
        <f>D11+D15</f>
        <v>-149</v>
      </c>
      <c r="E17" s="100">
        <v>-145</v>
      </c>
      <c r="F17" s="84">
        <f>F11+F15</f>
        <v>139</v>
      </c>
      <c r="H17" s="86">
        <f>H11+H15</f>
        <v>155</v>
      </c>
      <c r="I17" s="47"/>
      <c r="L17" s="130">
        <f>L11+L15</f>
        <v>159</v>
      </c>
    </row>
    <row r="18" spans="1:12" x14ac:dyDescent="0.25">
      <c r="A18" s="67"/>
      <c r="B18" s="58"/>
      <c r="C18" s="58"/>
      <c r="D18" s="58"/>
      <c r="E18" s="100"/>
      <c r="F18" s="101"/>
      <c r="G18" s="58"/>
      <c r="H18" s="102"/>
      <c r="I18" s="47"/>
      <c r="L18" s="177"/>
    </row>
    <row r="19" spans="1:12" x14ac:dyDescent="0.25">
      <c r="A19" s="61">
        <v>464300</v>
      </c>
      <c r="B19" s="48" t="s">
        <v>28</v>
      </c>
      <c r="D19" s="71">
        <v>8</v>
      </c>
      <c r="E19" s="100">
        <v>0</v>
      </c>
      <c r="F19" s="71">
        <v>0</v>
      </c>
      <c r="H19" s="60">
        <v>0</v>
      </c>
      <c r="I19" s="47"/>
      <c r="L19" s="129">
        <v>0</v>
      </c>
    </row>
    <row r="20" spans="1:12" x14ac:dyDescent="0.25">
      <c r="A20" s="49"/>
      <c r="E20" s="100"/>
      <c r="F20" s="71"/>
      <c r="H20" s="60"/>
      <c r="I20" s="47"/>
      <c r="L20" s="129"/>
    </row>
    <row r="21" spans="1:12" x14ac:dyDescent="0.25">
      <c r="A21" s="67">
        <v>469000</v>
      </c>
      <c r="B21" s="58" t="s">
        <v>157</v>
      </c>
      <c r="C21" s="58"/>
      <c r="D21" s="70">
        <f>Adm!E56+D17+D19</f>
        <v>-540</v>
      </c>
      <c r="E21" s="103">
        <v>429</v>
      </c>
      <c r="F21" s="68">
        <f>Adm!G56+F17+F19</f>
        <v>352.79199999999946</v>
      </c>
      <c r="H21" s="96">
        <f>Adm!I56+H17</f>
        <v>415.55000000000109</v>
      </c>
      <c r="I21" s="47"/>
      <c r="L21" s="190">
        <f>Adm!K56+L17</f>
        <v>966.67500000000291</v>
      </c>
    </row>
    <row r="22" spans="1:12" x14ac:dyDescent="0.25">
      <c r="A22" s="49"/>
      <c r="E22" s="100"/>
      <c r="F22" s="71"/>
      <c r="H22" s="60"/>
      <c r="I22" s="47"/>
      <c r="L22" s="129"/>
    </row>
    <row r="23" spans="1:12" x14ac:dyDescent="0.25">
      <c r="A23" s="57" t="s">
        <v>158</v>
      </c>
      <c r="B23" s="58"/>
      <c r="E23" s="100"/>
      <c r="F23" s="71"/>
      <c r="H23" s="60"/>
      <c r="I23" s="47"/>
      <c r="L23" s="129"/>
    </row>
    <row r="24" spans="1:12" x14ac:dyDescent="0.25">
      <c r="A24" s="49"/>
      <c r="E24" s="100"/>
      <c r="F24" s="71"/>
      <c r="H24" s="60"/>
      <c r="I24" s="47"/>
      <c r="L24" s="129"/>
    </row>
    <row r="25" spans="1:12" x14ac:dyDescent="0.25">
      <c r="A25" s="61">
        <v>471500</v>
      </c>
      <c r="B25" s="48" t="s">
        <v>159</v>
      </c>
      <c r="E25" s="100">
        <v>0</v>
      </c>
      <c r="F25" s="71">
        <v>9</v>
      </c>
      <c r="H25" s="60">
        <v>0</v>
      </c>
      <c r="I25" s="47"/>
      <c r="L25" s="129">
        <v>0</v>
      </c>
    </row>
    <row r="26" spans="1:12" x14ac:dyDescent="0.25">
      <c r="A26" s="67">
        <v>471999</v>
      </c>
      <c r="B26" s="58" t="s">
        <v>160</v>
      </c>
      <c r="C26" s="58"/>
      <c r="D26" s="84">
        <v>-3</v>
      </c>
      <c r="E26" s="100">
        <v>0</v>
      </c>
      <c r="F26" s="84">
        <f>SUM(F25)</f>
        <v>9</v>
      </c>
      <c r="H26" s="86">
        <v>0</v>
      </c>
      <c r="I26" s="47"/>
      <c r="L26" s="130">
        <v>0</v>
      </c>
    </row>
    <row r="27" spans="1:12" x14ac:dyDescent="0.25">
      <c r="A27" s="61">
        <v>473300</v>
      </c>
      <c r="B27" s="48" t="s">
        <v>161</v>
      </c>
      <c r="E27" s="100">
        <v>0</v>
      </c>
      <c r="F27" s="71">
        <v>2</v>
      </c>
      <c r="H27" s="60">
        <v>0</v>
      </c>
      <c r="I27" s="47"/>
      <c r="L27" s="129">
        <v>0</v>
      </c>
    </row>
    <row r="28" spans="1:12" x14ac:dyDescent="0.25">
      <c r="A28" s="61">
        <v>477500</v>
      </c>
      <c r="B28" s="48" t="s">
        <v>162</v>
      </c>
      <c r="E28" s="100">
        <v>0</v>
      </c>
      <c r="F28" s="71"/>
      <c r="H28" s="60">
        <v>0</v>
      </c>
      <c r="I28" s="47"/>
      <c r="L28" s="129">
        <v>0</v>
      </c>
    </row>
    <row r="29" spans="1:12" x14ac:dyDescent="0.25">
      <c r="A29" s="67">
        <v>477999</v>
      </c>
      <c r="B29" s="58" t="s">
        <v>163</v>
      </c>
      <c r="C29" s="58"/>
      <c r="D29" s="86"/>
      <c r="E29" s="100">
        <v>0</v>
      </c>
      <c r="F29" s="84">
        <f>SUM(F27:F28)</f>
        <v>2</v>
      </c>
      <c r="H29" s="86">
        <v>0</v>
      </c>
      <c r="I29" s="47"/>
      <c r="L29" s="130">
        <v>0</v>
      </c>
    </row>
    <row r="30" spans="1:12" x14ac:dyDescent="0.25">
      <c r="A30" s="74">
        <v>479999</v>
      </c>
      <c r="B30" s="75" t="s">
        <v>164</v>
      </c>
      <c r="C30" s="75"/>
      <c r="D30" s="84">
        <f>D26</f>
        <v>-3</v>
      </c>
      <c r="E30" s="104">
        <v>0</v>
      </c>
      <c r="F30" s="84">
        <f>F26+F29</f>
        <v>11</v>
      </c>
      <c r="H30" s="86">
        <v>0</v>
      </c>
      <c r="I30" s="47"/>
      <c r="L30" s="130">
        <v>0</v>
      </c>
    </row>
    <row r="31" spans="1:12" x14ac:dyDescent="0.25">
      <c r="E31" s="100"/>
      <c r="F31" s="71"/>
      <c r="I31" s="47"/>
      <c r="L31" s="127"/>
    </row>
    <row r="32" spans="1:12" x14ac:dyDescent="0.25">
      <c r="A32" s="42" t="s">
        <v>165</v>
      </c>
      <c r="B32" s="54"/>
      <c r="C32" s="43"/>
      <c r="D32" s="43"/>
      <c r="E32" s="99"/>
      <c r="F32" s="92"/>
      <c r="G32" s="43"/>
      <c r="H32" s="56"/>
      <c r="I32" s="47"/>
      <c r="L32" s="128"/>
    </row>
    <row r="33" spans="1:12" x14ac:dyDescent="0.25">
      <c r="A33" s="49"/>
      <c r="E33" s="100"/>
      <c r="F33" s="71"/>
      <c r="H33" s="60"/>
      <c r="I33" s="47"/>
      <c r="L33" s="129"/>
    </row>
    <row r="34" spans="1:12" x14ac:dyDescent="0.25">
      <c r="A34" s="57" t="s">
        <v>166</v>
      </c>
      <c r="B34" s="58"/>
      <c r="E34" s="100"/>
      <c r="F34" s="71"/>
      <c r="H34" s="60"/>
      <c r="I34" s="47"/>
      <c r="L34" s="129"/>
    </row>
    <row r="35" spans="1:12" x14ac:dyDescent="0.25">
      <c r="A35" s="61">
        <v>481400</v>
      </c>
      <c r="B35" s="48" t="s">
        <v>167</v>
      </c>
      <c r="D35" s="71">
        <v>23</v>
      </c>
      <c r="E35" s="100">
        <v>27</v>
      </c>
      <c r="F35" s="71">
        <v>95</v>
      </c>
      <c r="H35" s="60">
        <v>50</v>
      </c>
      <c r="I35" s="47"/>
      <c r="L35" s="129">
        <v>30</v>
      </c>
    </row>
    <row r="36" spans="1:12" x14ac:dyDescent="0.25">
      <c r="A36" s="61">
        <v>481450</v>
      </c>
      <c r="B36" s="48" t="s">
        <v>168</v>
      </c>
      <c r="D36" s="71">
        <v>39</v>
      </c>
      <c r="E36" s="100">
        <v>21</v>
      </c>
      <c r="F36" s="71">
        <v>0</v>
      </c>
      <c r="H36" s="60"/>
      <c r="I36" s="47"/>
      <c r="L36" s="129"/>
    </row>
    <row r="37" spans="1:12" x14ac:dyDescent="0.25">
      <c r="A37" s="67">
        <v>481999</v>
      </c>
      <c r="B37" s="58" t="s">
        <v>169</v>
      </c>
      <c r="C37" s="58"/>
      <c r="D37" s="84">
        <f>SUM(D35:D36)</f>
        <v>62</v>
      </c>
      <c r="E37" s="100">
        <v>48</v>
      </c>
      <c r="F37" s="84">
        <f>F35+F36</f>
        <v>95</v>
      </c>
      <c r="H37" s="86">
        <f>H35+H36</f>
        <v>50</v>
      </c>
      <c r="I37" s="47"/>
      <c r="L37" s="130">
        <f>L35+L36</f>
        <v>30</v>
      </c>
    </row>
    <row r="38" spans="1:12" x14ac:dyDescent="0.25">
      <c r="A38" s="61">
        <v>483300</v>
      </c>
      <c r="B38" s="48" t="s">
        <v>170</v>
      </c>
      <c r="D38" s="71">
        <v>420</v>
      </c>
      <c r="E38" s="100">
        <v>420</v>
      </c>
      <c r="F38" s="71">
        <v>430</v>
      </c>
      <c r="H38" s="60">
        <v>442</v>
      </c>
      <c r="I38" s="47"/>
      <c r="L38" s="129">
        <v>420</v>
      </c>
    </row>
    <row r="39" spans="1:12" x14ac:dyDescent="0.25">
      <c r="A39" s="61">
        <v>487500</v>
      </c>
      <c r="B39" s="48" t="s">
        <v>177</v>
      </c>
      <c r="D39" s="71"/>
      <c r="E39" s="100">
        <v>0</v>
      </c>
      <c r="F39" s="71">
        <v>129</v>
      </c>
      <c r="H39" s="60">
        <v>0</v>
      </c>
      <c r="I39" s="47"/>
      <c r="L39" s="129">
        <v>100</v>
      </c>
    </row>
    <row r="40" spans="1:12" x14ac:dyDescent="0.25">
      <c r="A40" s="67">
        <v>489999</v>
      </c>
      <c r="B40" s="58" t="s">
        <v>171</v>
      </c>
      <c r="C40" s="58"/>
      <c r="D40" s="84">
        <f>SUM(D37:D39)</f>
        <v>482</v>
      </c>
      <c r="E40" s="100">
        <v>468</v>
      </c>
      <c r="F40" s="84">
        <f>F37+F38+F39</f>
        <v>654</v>
      </c>
      <c r="H40" s="86">
        <f>H37+H38+H39</f>
        <v>492</v>
      </c>
      <c r="I40" s="47">
        <v>8.1</v>
      </c>
      <c r="L40" s="178">
        <f>L37+L38+L39</f>
        <v>550</v>
      </c>
    </row>
    <row r="41" spans="1:12" x14ac:dyDescent="0.25">
      <c r="A41" s="67"/>
      <c r="B41" s="58"/>
      <c r="C41" s="58"/>
      <c r="E41" s="100"/>
      <c r="F41" s="71"/>
      <c r="H41" s="60"/>
      <c r="I41" s="47"/>
      <c r="L41" s="129"/>
    </row>
    <row r="42" spans="1:12" x14ac:dyDescent="0.25">
      <c r="A42" s="67">
        <v>490000</v>
      </c>
      <c r="B42" s="58" t="s">
        <v>172</v>
      </c>
      <c r="C42" s="58"/>
      <c r="D42" s="70">
        <f>D21+D40</f>
        <v>-58</v>
      </c>
      <c r="E42" s="103">
        <v>897</v>
      </c>
      <c r="F42" s="68">
        <f>F21+F30-F40</f>
        <v>-290.20800000000054</v>
      </c>
      <c r="H42" s="96">
        <f>H21+H30-H40</f>
        <v>-76.449999999998909</v>
      </c>
      <c r="I42" s="47"/>
      <c r="L42" s="132">
        <f>L21+L30-L40</f>
        <v>416.67500000000291</v>
      </c>
    </row>
    <row r="43" spans="1:12" x14ac:dyDescent="0.25">
      <c r="A43" s="49"/>
      <c r="E43" s="100"/>
      <c r="F43" s="71"/>
      <c r="H43" s="60"/>
      <c r="I43" s="47"/>
      <c r="L43" s="129"/>
    </row>
    <row r="44" spans="1:12" x14ac:dyDescent="0.25">
      <c r="A44" s="74">
        <v>499999</v>
      </c>
      <c r="B44" s="75" t="s">
        <v>173</v>
      </c>
      <c r="C44" s="75"/>
      <c r="D44" s="70">
        <f>D42</f>
        <v>-58</v>
      </c>
      <c r="E44" s="105">
        <v>897</v>
      </c>
      <c r="F44" s="68">
        <f>F42</f>
        <v>-290.20800000000054</v>
      </c>
      <c r="H44" s="96">
        <f>H42</f>
        <v>-76.449999999998909</v>
      </c>
      <c r="I44" s="47"/>
      <c r="L44" s="132">
        <f>L42</f>
        <v>416.67500000000291</v>
      </c>
    </row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>
    <oddHeader xml:space="preserve">&amp;R&amp;"Calibri,Regular"&amp;10 RESTRICTED&amp;1#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93584fe-413d-4a29-a281-9ef5666a1192">HXKKWD7YRSR5-2032326238-645</_dlc_DocId>
    <_dlc_DocIdUrl xmlns="e93584fe-413d-4a29-a281-9ef5666a1192">
      <Url>https://hofjv.sharepoint.com/sites/Bestyrelsen/_layouts/15/DocIdRedir.aspx?ID=HXKKWD7YRSR5-2032326238-645</Url>
      <Description>HXKKWD7YRSR5-2032326238-645</Description>
    </_dlc_DocIdUrl>
    <IconOverlay xmlns="http://schemas.microsoft.com/sharepoint/v4" xsi:nil="true"/>
    <lcf76f155ced4ddcb4097134ff3c332f xmlns="ac76ed6f-7950-4a72-8b93-17f3d6139cbf">
      <Terms xmlns="http://schemas.microsoft.com/office/infopath/2007/PartnerControls"/>
    </lcf76f155ced4ddcb4097134ff3c332f>
    <TaxCatchAll xmlns="e93584fe-413d-4a29-a281-9ef5666a1192" xsi:nil="true"/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892F3F0223DD43BE35871E478EF0D9" ma:contentTypeVersion="14" ma:contentTypeDescription="Opret et nyt dokument." ma:contentTypeScope="" ma:versionID="dfc4f79cf0c27c873f4070d7f33f7f56">
  <xsd:schema xmlns:xsd="http://www.w3.org/2001/XMLSchema" xmlns:xs="http://www.w3.org/2001/XMLSchema" xmlns:p="http://schemas.microsoft.com/office/2006/metadata/properties" xmlns:ns2="e93584fe-413d-4a29-a281-9ef5666a1192" xmlns:ns3="ac76ed6f-7950-4a72-8b93-17f3d6139cbf" xmlns:ns4="http://schemas.microsoft.com/sharepoint/v4" targetNamespace="http://schemas.microsoft.com/office/2006/metadata/properties" ma:root="true" ma:fieldsID="3abbe0a77aeb6903d4446e8a159323cd" ns2:_="" ns3:_="" ns4:_="">
    <xsd:import namespace="e93584fe-413d-4a29-a281-9ef5666a1192"/>
    <xsd:import namespace="ac76ed6f-7950-4a72-8b93-17f3d6139cbf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2:SharedWithUsers" minOccurs="0"/>
                <xsd:element ref="ns2:SharedWithDetails" minOccurs="0"/>
                <xsd:element ref="ns3:MediaServiceSearchProperties" minOccurs="0"/>
                <xsd:element ref="ns4:IconOverlay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3584fe-413d-4a29-a281-9ef5666a119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ærdi for dokument-id" ma:description="Værdien af det dokument-id, der er tildelt dette element." ma:indexed="true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 link til dette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e80aa4b-6173-43df-b0cb-9e5910ed95ab}" ma:internalName="TaxCatchAll" ma:showField="CatchAllData" ma:web="e93584fe-413d-4a29-a281-9ef5666a11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76ed6f-7950-4a72-8b93-17f3d6139c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ledmærker" ma:readOnly="false" ma:fieldId="{5cf76f15-5ced-4ddc-b409-7134ff3c332f}" ma:taxonomyMulti="true" ma:sspId="967147d2-3a29-49bd-84fb-923fb826cc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7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D9C2FF-4312-42D2-8F0E-37D198741849}">
  <ds:schemaRefs>
    <ds:schemaRef ds:uri="http://schemas.microsoft.com/office/2006/metadata/properties"/>
    <ds:schemaRef ds:uri="http://schemas.microsoft.com/office/infopath/2007/PartnerControls"/>
    <ds:schemaRef ds:uri="e93584fe-413d-4a29-a281-9ef5666a1192"/>
    <ds:schemaRef ds:uri="http://schemas.microsoft.com/sharepoint/v4"/>
    <ds:schemaRef ds:uri="ac76ed6f-7950-4a72-8b93-17f3d6139cbf"/>
  </ds:schemaRefs>
</ds:datastoreItem>
</file>

<file path=customXml/itemProps2.xml><?xml version="1.0" encoding="utf-8"?>
<ds:datastoreItem xmlns:ds="http://schemas.openxmlformats.org/officeDocument/2006/customXml" ds:itemID="{A4C6A856-8B0C-493F-8AE1-13A44CCADDCA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6CF8EC73-DDCD-4365-AD31-4C6D9A02BEB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C0583BB-9BB8-41A4-AB63-1651A8C5B2D9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B95B208D-9605-4D0E-9C4E-DB1006235A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3584fe-413d-4a29-a281-9ef5666a1192"/>
    <ds:schemaRef ds:uri="ac76ed6f-7950-4a72-8b93-17f3d6139cbf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78339df7-55fe-4b29-9ceb-13e364c1c9fc}" enabled="0" method="" siteId="{78339df7-55fe-4b29-9ceb-13e364c1c9f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1</vt:i4>
      </vt:variant>
    </vt:vector>
  </HeadingPairs>
  <TitlesOfParts>
    <vt:vector size="6" baseType="lpstr">
      <vt:lpstr>Hovedresultat</vt:lpstr>
      <vt:lpstr>Ark1</vt:lpstr>
      <vt:lpstr>Prod__og_distr_</vt:lpstr>
      <vt:lpstr>Adm</vt:lpstr>
      <vt:lpstr>Øvrige</vt:lpstr>
      <vt:lpstr>Prod__og_distr_!Udskriftsområde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Christian Fröhlich</dc:creator>
  <cp:keywords/>
  <dc:description/>
  <cp:lastModifiedBy>Birgitte Hansen</cp:lastModifiedBy>
  <cp:revision>1</cp:revision>
  <dcterms:created xsi:type="dcterms:W3CDTF">2023-12-15T20:51:45Z</dcterms:created>
  <dcterms:modified xsi:type="dcterms:W3CDTF">2025-05-24T08:08:49Z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HXKKWD7YRSR5-2032326238-226</vt:lpwstr>
  </property>
  <property fmtid="{D5CDD505-2E9C-101B-9397-08002B2CF9AE}" pid="3" name="_dlc_DocIdItemGuid">
    <vt:lpwstr>e0bb934d-fe98-4b16-a7a8-cb513ccbd49a</vt:lpwstr>
  </property>
  <property fmtid="{D5CDD505-2E9C-101B-9397-08002B2CF9AE}" pid="4" name="_dlc_DocIdUrl">
    <vt:lpwstr>https://hofjv.sharepoint.com/sites/Bestyrelsen/_layouts/15/DocIdRedir.aspx?ID=HXKKWD7YRSR5-2032326238-226, HXKKWD7YRSR5-2032326238-226</vt:lpwstr>
  </property>
  <property fmtid="{D5CDD505-2E9C-101B-9397-08002B2CF9AE}" pid="5" name="ContentTypeId">
    <vt:lpwstr>0x010100D3892F3F0223DD43BE35871E478EF0D9</vt:lpwstr>
  </property>
  <property fmtid="{D5CDD505-2E9C-101B-9397-08002B2CF9AE}" pid="6" name="MediaServiceImageTags">
    <vt:lpwstr/>
  </property>
  <property fmtid="{D5CDD505-2E9C-101B-9397-08002B2CF9AE}" pid="7" name="MSIP_Label_b0c09810-65f4-4310-9cf4-19edb1aba362_Enabled">
    <vt:lpwstr>true</vt:lpwstr>
  </property>
  <property fmtid="{D5CDD505-2E9C-101B-9397-08002B2CF9AE}" pid="8" name="MSIP_Label_b0c09810-65f4-4310-9cf4-19edb1aba362_SetDate">
    <vt:lpwstr>2024-12-19T08:55:13Z</vt:lpwstr>
  </property>
  <property fmtid="{D5CDD505-2E9C-101B-9397-08002B2CF9AE}" pid="9" name="MSIP_Label_b0c09810-65f4-4310-9cf4-19edb1aba362_Method">
    <vt:lpwstr>Standard</vt:lpwstr>
  </property>
  <property fmtid="{D5CDD505-2E9C-101B-9397-08002B2CF9AE}" pid="10" name="MSIP_Label_b0c09810-65f4-4310-9cf4-19edb1aba362_Name">
    <vt:lpwstr>Internal - Open Access</vt:lpwstr>
  </property>
  <property fmtid="{D5CDD505-2E9C-101B-9397-08002B2CF9AE}" pid="11" name="MSIP_Label_b0c09810-65f4-4310-9cf4-19edb1aba362_SiteId">
    <vt:lpwstr>513294a0-3e20-41b2-a970-6d30bf1546fa</vt:lpwstr>
  </property>
  <property fmtid="{D5CDD505-2E9C-101B-9397-08002B2CF9AE}" pid="12" name="MSIP_Label_b0c09810-65f4-4310-9cf4-19edb1aba362_ActionId">
    <vt:lpwstr>e5640690-d2c2-48a7-a898-37ba34606174</vt:lpwstr>
  </property>
  <property fmtid="{D5CDD505-2E9C-101B-9397-08002B2CF9AE}" pid="13" name="MSIP_Label_b0c09810-65f4-4310-9cf4-19edb1aba362_ContentBits">
    <vt:lpwstr>0</vt:lpwstr>
  </property>
</Properties>
</file>